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pablo\Desktop\4 Curso\IA en las Organizaciones\Practicas\Final\AlbertRiveraSentiment\Fecha1\"/>
    </mc:Choice>
  </mc:AlternateContent>
  <xr:revisionPtr revIDLastSave="0" documentId="13_ncr:1_{4D535ED6-F938-4D8D-AF7A-BF7CC760840B}" xr6:coauthVersionLast="40" xr6:coauthVersionMax="40" xr10:uidLastSave="{00000000-0000-0000-0000-000000000000}"/>
  <bookViews>
    <workbookView xWindow="0" yWindow="0" windowWidth="17256" windowHeight="4992" xr2:uid="{00000000-000D-0000-FFFF-FFFF00000000}"/>
  </bookViews>
  <sheets>
    <sheet name="&quot;Albert Rivera&quot; langes -filterr" sheetId="3"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U2478" i="3" l="1"/>
  <c r="K2478" i="3"/>
  <c r="E2478" i="3"/>
  <c r="B2478" i="3"/>
  <c r="U2477" i="3"/>
  <c r="K2477" i="3"/>
  <c r="E2477" i="3"/>
  <c r="B2477" i="3"/>
  <c r="U2476" i="3"/>
  <c r="K2476" i="3"/>
  <c r="E2476" i="3"/>
  <c r="B2476" i="3"/>
  <c r="U2475" i="3"/>
  <c r="K2475" i="3"/>
  <c r="E2475" i="3"/>
  <c r="B2475" i="3"/>
  <c r="U2474" i="3"/>
  <c r="K2474" i="3"/>
  <c r="E2474" i="3"/>
  <c r="B2474" i="3"/>
  <c r="U2473" i="3"/>
  <c r="K2473" i="3"/>
  <c r="E2473" i="3"/>
  <c r="B2473" i="3"/>
  <c r="U2472" i="3"/>
  <c r="K2472" i="3"/>
  <c r="E2472" i="3"/>
  <c r="B2472" i="3"/>
  <c r="U2471" i="3"/>
  <c r="K2471" i="3"/>
  <c r="E2471" i="3"/>
  <c r="B2471" i="3"/>
  <c r="U2470" i="3"/>
  <c r="K2470" i="3"/>
  <c r="E2470" i="3"/>
  <c r="B2470" i="3"/>
  <c r="U2469" i="3"/>
  <c r="K2469" i="3"/>
  <c r="E2469" i="3"/>
  <c r="B2469" i="3"/>
  <c r="U2468" i="3"/>
  <c r="K2468" i="3"/>
  <c r="E2468" i="3"/>
  <c r="B2468" i="3"/>
  <c r="U2467" i="3"/>
  <c r="K2467" i="3"/>
  <c r="E2467" i="3"/>
  <c r="B2467" i="3"/>
  <c r="U2466" i="3"/>
  <c r="K2466" i="3"/>
  <c r="E2466" i="3"/>
  <c r="B2466" i="3"/>
  <c r="U2465" i="3"/>
  <c r="K2465" i="3"/>
  <c r="E2465" i="3"/>
  <c r="B2465" i="3"/>
  <c r="U2464" i="3"/>
  <c r="K2464" i="3"/>
  <c r="E2464" i="3"/>
  <c r="B2464" i="3"/>
  <c r="U2463" i="3"/>
  <c r="K2463" i="3"/>
  <c r="E2463" i="3"/>
  <c r="B2463" i="3"/>
  <c r="U2462" i="3"/>
  <c r="K2462" i="3"/>
  <c r="E2462" i="3"/>
  <c r="B2462" i="3"/>
  <c r="U2461" i="3"/>
  <c r="K2461" i="3"/>
  <c r="E2461" i="3"/>
  <c r="B2461" i="3"/>
  <c r="U2460" i="3"/>
  <c r="K2460" i="3"/>
  <c r="E2460" i="3"/>
  <c r="B2460" i="3"/>
  <c r="U2459" i="3"/>
  <c r="K2459" i="3"/>
  <c r="E2459" i="3"/>
  <c r="B2459" i="3"/>
  <c r="U2458" i="3"/>
  <c r="K2458" i="3"/>
  <c r="E2458" i="3"/>
  <c r="B2458" i="3"/>
  <c r="U2457" i="3"/>
  <c r="K2457" i="3"/>
  <c r="E2457" i="3"/>
  <c r="B2457" i="3"/>
  <c r="U2456" i="3"/>
  <c r="K2456" i="3"/>
  <c r="E2456" i="3"/>
  <c r="B2456" i="3"/>
  <c r="U2455" i="3"/>
  <c r="K2455" i="3"/>
  <c r="E2455" i="3"/>
  <c r="B2455" i="3"/>
  <c r="U2454" i="3"/>
  <c r="K2454" i="3"/>
  <c r="E2454" i="3"/>
  <c r="B2454" i="3"/>
  <c r="U2453" i="3"/>
  <c r="K2453" i="3"/>
  <c r="E2453" i="3"/>
  <c r="B2453" i="3"/>
  <c r="U2452" i="3"/>
  <c r="K2452" i="3"/>
  <c r="E2452" i="3"/>
  <c r="B2452" i="3"/>
  <c r="U2451" i="3"/>
  <c r="K2451" i="3"/>
  <c r="E2451" i="3"/>
  <c r="B2451" i="3"/>
  <c r="U2450" i="3"/>
  <c r="K2450" i="3"/>
  <c r="E2450" i="3"/>
  <c r="B2450" i="3"/>
  <c r="U2449" i="3"/>
  <c r="K2449" i="3"/>
  <c r="E2449" i="3"/>
  <c r="B2449" i="3"/>
  <c r="U2448" i="3"/>
  <c r="K2448" i="3"/>
  <c r="E2448" i="3"/>
  <c r="B2448" i="3"/>
  <c r="U2447" i="3"/>
  <c r="K2447" i="3"/>
  <c r="E2447" i="3"/>
  <c r="B2447" i="3"/>
  <c r="U2446" i="3"/>
  <c r="K2446" i="3"/>
  <c r="E2446" i="3"/>
  <c r="B2446" i="3"/>
  <c r="U2445" i="3"/>
  <c r="K2445" i="3"/>
  <c r="E2445" i="3"/>
  <c r="B2445" i="3"/>
  <c r="U2444" i="3"/>
  <c r="K2444" i="3"/>
  <c r="E2444" i="3"/>
  <c r="B2444" i="3"/>
  <c r="U2443" i="3"/>
  <c r="K2443" i="3"/>
  <c r="E2443" i="3"/>
  <c r="B2443" i="3"/>
  <c r="U2442" i="3"/>
  <c r="K2442" i="3"/>
  <c r="E2442" i="3"/>
  <c r="B2442" i="3"/>
  <c r="U2441" i="3"/>
  <c r="K2441" i="3"/>
  <c r="E2441" i="3"/>
  <c r="B2441" i="3"/>
  <c r="U2440" i="3"/>
  <c r="K2440" i="3"/>
  <c r="E2440" i="3"/>
  <c r="B2440" i="3"/>
  <c r="U2439" i="3"/>
  <c r="K2439" i="3"/>
  <c r="E2439" i="3"/>
  <c r="B2439" i="3"/>
  <c r="U2438" i="3"/>
  <c r="K2438" i="3"/>
  <c r="E2438" i="3"/>
  <c r="B2438" i="3"/>
  <c r="U2437" i="3"/>
  <c r="K2437" i="3"/>
  <c r="E2437" i="3"/>
  <c r="B2437" i="3"/>
  <c r="U2436" i="3"/>
  <c r="K2436" i="3"/>
  <c r="E2436" i="3"/>
  <c r="B2436" i="3"/>
  <c r="U2435" i="3"/>
  <c r="K2435" i="3"/>
  <c r="E2435" i="3"/>
  <c r="B2435" i="3"/>
  <c r="U2434" i="3"/>
  <c r="K2434" i="3"/>
  <c r="E2434" i="3"/>
  <c r="B2434" i="3"/>
  <c r="U2433" i="3"/>
  <c r="K2433" i="3"/>
  <c r="E2433" i="3"/>
  <c r="B2433" i="3"/>
  <c r="U2432" i="3"/>
  <c r="K2432" i="3"/>
  <c r="E2432" i="3"/>
  <c r="B2432" i="3"/>
  <c r="U2431" i="3"/>
  <c r="K2431" i="3"/>
  <c r="E2431" i="3"/>
  <c r="B2431" i="3"/>
  <c r="U2430" i="3"/>
  <c r="K2430" i="3"/>
  <c r="E2430" i="3"/>
  <c r="B2430" i="3"/>
  <c r="U2429" i="3"/>
  <c r="K2429" i="3"/>
  <c r="E2429" i="3"/>
  <c r="B2429" i="3"/>
  <c r="U2428" i="3"/>
  <c r="K2428" i="3"/>
  <c r="E2428" i="3"/>
  <c r="B2428" i="3"/>
  <c r="U2427" i="3"/>
  <c r="K2427" i="3"/>
  <c r="E2427" i="3"/>
  <c r="B2427" i="3"/>
  <c r="U2426" i="3"/>
  <c r="K2426" i="3"/>
  <c r="E2426" i="3"/>
  <c r="B2426" i="3"/>
  <c r="U2425" i="3"/>
  <c r="K2425" i="3"/>
  <c r="E2425" i="3"/>
  <c r="B2425" i="3"/>
  <c r="U2424" i="3"/>
  <c r="K2424" i="3"/>
  <c r="E2424" i="3"/>
  <c r="B2424" i="3"/>
  <c r="U2423" i="3"/>
  <c r="K2423" i="3"/>
  <c r="E2423" i="3"/>
  <c r="B2423" i="3"/>
  <c r="U2422" i="3"/>
  <c r="K2422" i="3"/>
  <c r="E2422" i="3"/>
  <c r="B2422" i="3"/>
  <c r="U2421" i="3"/>
  <c r="K2421" i="3"/>
  <c r="E2421" i="3"/>
  <c r="B2421" i="3"/>
  <c r="U2420" i="3"/>
  <c r="K2420" i="3"/>
  <c r="E2420" i="3"/>
  <c r="B2420" i="3"/>
  <c r="U2419" i="3"/>
  <c r="K2419" i="3"/>
  <c r="E2419" i="3"/>
  <c r="B2419" i="3"/>
  <c r="U2418" i="3"/>
  <c r="K2418" i="3"/>
  <c r="E2418" i="3"/>
  <c r="B2418" i="3"/>
  <c r="U2417" i="3"/>
  <c r="K2417" i="3"/>
  <c r="E2417" i="3"/>
  <c r="B2417" i="3"/>
  <c r="U2416" i="3"/>
  <c r="K2416" i="3"/>
  <c r="E2416" i="3"/>
  <c r="B2416" i="3"/>
  <c r="U2415" i="3"/>
  <c r="K2415" i="3"/>
  <c r="E2415" i="3"/>
  <c r="B2415" i="3"/>
  <c r="U2414" i="3"/>
  <c r="K2414" i="3"/>
  <c r="E2414" i="3"/>
  <c r="B2414" i="3"/>
  <c r="U2413" i="3"/>
  <c r="K2413" i="3"/>
  <c r="E2413" i="3"/>
  <c r="B2413" i="3"/>
  <c r="U2412" i="3"/>
  <c r="K2412" i="3"/>
  <c r="E2412" i="3"/>
  <c r="B2412" i="3"/>
  <c r="U2411" i="3"/>
  <c r="K2411" i="3"/>
  <c r="E2411" i="3"/>
  <c r="B2411" i="3"/>
  <c r="U2410" i="3"/>
  <c r="K2410" i="3"/>
  <c r="E2410" i="3"/>
  <c r="B2410" i="3"/>
  <c r="U2409" i="3"/>
  <c r="K2409" i="3"/>
  <c r="E2409" i="3"/>
  <c r="B2409" i="3"/>
  <c r="U2408" i="3"/>
  <c r="K2408" i="3"/>
  <c r="E2408" i="3"/>
  <c r="B2408" i="3"/>
  <c r="U2407" i="3"/>
  <c r="K2407" i="3"/>
  <c r="E2407" i="3"/>
  <c r="B2407" i="3"/>
  <c r="U2406" i="3"/>
  <c r="K2406" i="3"/>
  <c r="E2406" i="3"/>
  <c r="B2406" i="3"/>
  <c r="U2405" i="3"/>
  <c r="K2405" i="3"/>
  <c r="E2405" i="3"/>
  <c r="B2405" i="3"/>
  <c r="U2404" i="3"/>
  <c r="K2404" i="3"/>
  <c r="E2404" i="3"/>
  <c r="B2404" i="3"/>
  <c r="U2403" i="3"/>
  <c r="K2403" i="3"/>
  <c r="E2403" i="3"/>
  <c r="B2403" i="3"/>
  <c r="U2402" i="3"/>
  <c r="K2402" i="3"/>
  <c r="E2402" i="3"/>
  <c r="B2402" i="3"/>
  <c r="U2401" i="3"/>
  <c r="K2401" i="3"/>
  <c r="E2401" i="3"/>
  <c r="B2401" i="3"/>
  <c r="U2400" i="3"/>
  <c r="K2400" i="3"/>
  <c r="E2400" i="3"/>
  <c r="B2400" i="3"/>
  <c r="U2399" i="3"/>
  <c r="K2399" i="3"/>
  <c r="E2399" i="3"/>
  <c r="B2399" i="3"/>
  <c r="U2398" i="3"/>
  <c r="K2398" i="3"/>
  <c r="E2398" i="3"/>
  <c r="B2398" i="3"/>
  <c r="U2397" i="3"/>
  <c r="K2397" i="3"/>
  <c r="E2397" i="3"/>
  <c r="B2397" i="3"/>
  <c r="U2396" i="3"/>
  <c r="K2396" i="3"/>
  <c r="E2396" i="3"/>
  <c r="B2396" i="3"/>
  <c r="U2395" i="3"/>
  <c r="K2395" i="3"/>
  <c r="E2395" i="3"/>
  <c r="B2395" i="3"/>
  <c r="U2394" i="3"/>
  <c r="K2394" i="3"/>
  <c r="E2394" i="3"/>
  <c r="B2394" i="3"/>
  <c r="U2393" i="3"/>
  <c r="K2393" i="3"/>
  <c r="E2393" i="3"/>
  <c r="B2393" i="3"/>
  <c r="U2392" i="3"/>
  <c r="K2392" i="3"/>
  <c r="E2392" i="3"/>
  <c r="B2392" i="3"/>
  <c r="U2391" i="3"/>
  <c r="K2391" i="3"/>
  <c r="E2391" i="3"/>
  <c r="B2391" i="3"/>
  <c r="U2390" i="3"/>
  <c r="K2390" i="3"/>
  <c r="E2390" i="3"/>
  <c r="B2390" i="3"/>
  <c r="U2389" i="3"/>
  <c r="K2389" i="3"/>
  <c r="E2389" i="3"/>
  <c r="B2389" i="3"/>
  <c r="U2388" i="3"/>
  <c r="K2388" i="3"/>
  <c r="E2388" i="3"/>
  <c r="B2388" i="3"/>
  <c r="U2387" i="3"/>
  <c r="K2387" i="3"/>
  <c r="E2387" i="3"/>
  <c r="B2387" i="3"/>
  <c r="U2386" i="3"/>
  <c r="K2386" i="3"/>
  <c r="E2386" i="3"/>
  <c r="B2386" i="3"/>
  <c r="U2385" i="3"/>
  <c r="K2385" i="3"/>
  <c r="E2385" i="3"/>
  <c r="B2385" i="3"/>
  <c r="U2384" i="3"/>
  <c r="K2384" i="3"/>
  <c r="E2384" i="3"/>
  <c r="B2384" i="3"/>
  <c r="U2383" i="3"/>
  <c r="K2383" i="3"/>
  <c r="E2383" i="3"/>
  <c r="B2383" i="3"/>
  <c r="U2382" i="3"/>
  <c r="K2382" i="3"/>
  <c r="E2382" i="3"/>
  <c r="B2382" i="3"/>
  <c r="U2381" i="3"/>
  <c r="K2381" i="3"/>
  <c r="E2381" i="3"/>
  <c r="B2381" i="3"/>
  <c r="U2380" i="3"/>
  <c r="K2380" i="3"/>
  <c r="E2380" i="3"/>
  <c r="B2380" i="3"/>
  <c r="U2379" i="3"/>
  <c r="K2379" i="3"/>
  <c r="E2379" i="3"/>
  <c r="B2379" i="3"/>
  <c r="U2378" i="3"/>
  <c r="K2378" i="3"/>
  <c r="E2378" i="3"/>
  <c r="B2378" i="3"/>
  <c r="U2377" i="3"/>
  <c r="K2377" i="3"/>
  <c r="E2377" i="3"/>
  <c r="B2377" i="3"/>
  <c r="K2376" i="3"/>
  <c r="E2376" i="3"/>
  <c r="B2376" i="3"/>
  <c r="U2375" i="3"/>
  <c r="K2375" i="3"/>
  <c r="E2375" i="3"/>
  <c r="B2375" i="3"/>
  <c r="U2374" i="3"/>
  <c r="K2374" i="3"/>
  <c r="E2374" i="3"/>
  <c r="B2374" i="3"/>
  <c r="U2373" i="3"/>
  <c r="K2373" i="3"/>
  <c r="E2373" i="3"/>
  <c r="B2373" i="3"/>
  <c r="U2372" i="3"/>
  <c r="K2372" i="3"/>
  <c r="E2372" i="3"/>
  <c r="B2372" i="3"/>
  <c r="U2371" i="3"/>
  <c r="K2371" i="3"/>
  <c r="E2371" i="3"/>
  <c r="B2371" i="3"/>
  <c r="U2370" i="3"/>
  <c r="K2370" i="3"/>
  <c r="E2370" i="3"/>
  <c r="B2370" i="3"/>
  <c r="U2369" i="3"/>
  <c r="K2369" i="3"/>
  <c r="E2369" i="3"/>
  <c r="B2369" i="3"/>
  <c r="U2368" i="3"/>
  <c r="K2368" i="3"/>
  <c r="E2368" i="3"/>
  <c r="B2368" i="3"/>
  <c r="U2367" i="3"/>
  <c r="K2367" i="3"/>
  <c r="E2367" i="3"/>
  <c r="B2367" i="3"/>
  <c r="U2366" i="3"/>
  <c r="K2366" i="3"/>
  <c r="E2366" i="3"/>
  <c r="B2366" i="3"/>
  <c r="U2365" i="3"/>
  <c r="K2365" i="3"/>
  <c r="E2365" i="3"/>
  <c r="B2365" i="3"/>
  <c r="U2364" i="3"/>
  <c r="K2364" i="3"/>
  <c r="E2364" i="3"/>
  <c r="B2364" i="3"/>
  <c r="U2363" i="3"/>
  <c r="K2363" i="3"/>
  <c r="E2363" i="3"/>
  <c r="B2363" i="3"/>
  <c r="U2362" i="3"/>
  <c r="K2362" i="3"/>
  <c r="E2362" i="3"/>
  <c r="B2362" i="3"/>
  <c r="U2361" i="3"/>
  <c r="K2361" i="3"/>
  <c r="E2361" i="3"/>
  <c r="B2361" i="3"/>
  <c r="U2360" i="3"/>
  <c r="K2360" i="3"/>
  <c r="E2360" i="3"/>
  <c r="B2360" i="3"/>
  <c r="U2359" i="3"/>
  <c r="K2359" i="3"/>
  <c r="E2359" i="3"/>
  <c r="B2359" i="3"/>
  <c r="U2358" i="3"/>
  <c r="K2358" i="3"/>
  <c r="E2358" i="3"/>
  <c r="B2358" i="3"/>
  <c r="U2357" i="3"/>
  <c r="K2357" i="3"/>
  <c r="E2357" i="3"/>
  <c r="B2357" i="3"/>
  <c r="U2356" i="3"/>
  <c r="K2356" i="3"/>
  <c r="E2356" i="3"/>
  <c r="B2356" i="3"/>
  <c r="U2355" i="3"/>
  <c r="K2355" i="3"/>
  <c r="E2355" i="3"/>
  <c r="B2355" i="3"/>
  <c r="U2354" i="3"/>
  <c r="K2354" i="3"/>
  <c r="E2354" i="3"/>
  <c r="B2354" i="3"/>
  <c r="U2353" i="3"/>
  <c r="K2353" i="3"/>
  <c r="E2353" i="3"/>
  <c r="B2353" i="3"/>
  <c r="U2352" i="3"/>
  <c r="K2352" i="3"/>
  <c r="E2352" i="3"/>
  <c r="B2352" i="3"/>
  <c r="U2351" i="3"/>
  <c r="K2351" i="3"/>
  <c r="E2351" i="3"/>
  <c r="B2351" i="3"/>
  <c r="U2350" i="3"/>
  <c r="K2350" i="3"/>
  <c r="E2350" i="3"/>
  <c r="B2350" i="3"/>
  <c r="U2349" i="3"/>
  <c r="K2349" i="3"/>
  <c r="E2349" i="3"/>
  <c r="B2349" i="3"/>
  <c r="U2348" i="3"/>
  <c r="K2348" i="3"/>
  <c r="E2348" i="3"/>
  <c r="B2348" i="3"/>
  <c r="U2347" i="3"/>
  <c r="K2347" i="3"/>
  <c r="E2347" i="3"/>
  <c r="B2347" i="3"/>
  <c r="U2346" i="3"/>
  <c r="K2346" i="3"/>
  <c r="E2346" i="3"/>
  <c r="B2346" i="3"/>
  <c r="U2345" i="3"/>
  <c r="K2345" i="3"/>
  <c r="E2345" i="3"/>
  <c r="B2345" i="3"/>
  <c r="U2344" i="3"/>
  <c r="K2344" i="3"/>
  <c r="E2344" i="3"/>
  <c r="B2344" i="3"/>
  <c r="U2343" i="3"/>
  <c r="K2343" i="3"/>
  <c r="E2343" i="3"/>
  <c r="B2343" i="3"/>
  <c r="U2342" i="3"/>
  <c r="K2342" i="3"/>
  <c r="E2342" i="3"/>
  <c r="B2342" i="3"/>
  <c r="U2341" i="3"/>
  <c r="K2341" i="3"/>
  <c r="E2341" i="3"/>
  <c r="B2341" i="3"/>
  <c r="U2340" i="3"/>
  <c r="K2340" i="3"/>
  <c r="E2340" i="3"/>
  <c r="B2340" i="3"/>
  <c r="U2339" i="3"/>
  <c r="K2339" i="3"/>
  <c r="E2339" i="3"/>
  <c r="B2339" i="3"/>
  <c r="U2338" i="3"/>
  <c r="K2338" i="3"/>
  <c r="E2338" i="3"/>
  <c r="B2338" i="3"/>
  <c r="U2337" i="3"/>
  <c r="K2337" i="3"/>
  <c r="E2337" i="3"/>
  <c r="B2337" i="3"/>
  <c r="U2336" i="3"/>
  <c r="K2336" i="3"/>
  <c r="E2336" i="3"/>
  <c r="B2336" i="3"/>
  <c r="U2335" i="3"/>
  <c r="K2335" i="3"/>
  <c r="E2335" i="3"/>
  <c r="B2335" i="3"/>
  <c r="U2334" i="3"/>
  <c r="K2334" i="3"/>
  <c r="E2334" i="3"/>
  <c r="B2334" i="3"/>
  <c r="U2333" i="3"/>
  <c r="K2333" i="3"/>
  <c r="E2333" i="3"/>
  <c r="B2333" i="3"/>
  <c r="U2332" i="3"/>
  <c r="K2332" i="3"/>
  <c r="E2332" i="3"/>
  <c r="B2332" i="3"/>
  <c r="U2331" i="3"/>
  <c r="K2331" i="3"/>
  <c r="E2331" i="3"/>
  <c r="B2331" i="3"/>
  <c r="U2330" i="3"/>
  <c r="K2330" i="3"/>
  <c r="E2330" i="3"/>
  <c r="B2330" i="3"/>
  <c r="U2329" i="3"/>
  <c r="K2329" i="3"/>
  <c r="E2329" i="3"/>
  <c r="B2329" i="3"/>
  <c r="U2328" i="3"/>
  <c r="K2328" i="3"/>
  <c r="E2328" i="3"/>
  <c r="B2328" i="3"/>
  <c r="U2327" i="3"/>
  <c r="K2327" i="3"/>
  <c r="E2327" i="3"/>
  <c r="B2327" i="3"/>
  <c r="U2326" i="3"/>
  <c r="K2326" i="3"/>
  <c r="E2326" i="3"/>
  <c r="B2326" i="3"/>
  <c r="U2325" i="3"/>
  <c r="K2325" i="3"/>
  <c r="E2325" i="3"/>
  <c r="B2325" i="3"/>
  <c r="U2324" i="3"/>
  <c r="K2324" i="3"/>
  <c r="E2324" i="3"/>
  <c r="B2324" i="3"/>
  <c r="U2323" i="3"/>
  <c r="K2323" i="3"/>
  <c r="E2323" i="3"/>
  <c r="B2323" i="3"/>
  <c r="U2322" i="3"/>
  <c r="K2322" i="3"/>
  <c r="E2322" i="3"/>
  <c r="B2322" i="3"/>
  <c r="U2321" i="3"/>
  <c r="K2321" i="3"/>
  <c r="E2321" i="3"/>
  <c r="B2321" i="3"/>
  <c r="U2320" i="3"/>
  <c r="K2320" i="3"/>
  <c r="E2320" i="3"/>
  <c r="B2320" i="3"/>
  <c r="U2319" i="3"/>
  <c r="K2319" i="3"/>
  <c r="E2319" i="3"/>
  <c r="B2319" i="3"/>
  <c r="U2318" i="3"/>
  <c r="K2318" i="3"/>
  <c r="E2318" i="3"/>
  <c r="B2318" i="3"/>
  <c r="U2317" i="3"/>
  <c r="K2317" i="3"/>
  <c r="E2317" i="3"/>
  <c r="B2317" i="3"/>
  <c r="K2316" i="3"/>
  <c r="E2316" i="3"/>
  <c r="B2316" i="3"/>
  <c r="U2315" i="3"/>
  <c r="K2315" i="3"/>
  <c r="E2315" i="3"/>
  <c r="B2315" i="3"/>
  <c r="U2314" i="3"/>
  <c r="K2314" i="3"/>
  <c r="E2314" i="3"/>
  <c r="B2314" i="3"/>
  <c r="U2313" i="3"/>
  <c r="K2313" i="3"/>
  <c r="E2313" i="3"/>
  <c r="B2313" i="3"/>
  <c r="U2312" i="3"/>
  <c r="K2312" i="3"/>
  <c r="E2312" i="3"/>
  <c r="B2312" i="3"/>
  <c r="U2311" i="3"/>
  <c r="K2311" i="3"/>
  <c r="E2311" i="3"/>
  <c r="B2311" i="3"/>
  <c r="U2310" i="3"/>
  <c r="K2310" i="3"/>
  <c r="E2310" i="3"/>
  <c r="B2310" i="3"/>
  <c r="U2309" i="3"/>
  <c r="K2309" i="3"/>
  <c r="E2309" i="3"/>
  <c r="B2309" i="3"/>
  <c r="U2308" i="3"/>
  <c r="K2308" i="3"/>
  <c r="E2308" i="3"/>
  <c r="B2308" i="3"/>
  <c r="U2307" i="3"/>
  <c r="K2307" i="3"/>
  <c r="E2307" i="3"/>
  <c r="B2307" i="3"/>
  <c r="U2306" i="3"/>
  <c r="K2306" i="3"/>
  <c r="E2306" i="3"/>
  <c r="B2306" i="3"/>
  <c r="U2305" i="3"/>
  <c r="K2305" i="3"/>
  <c r="E2305" i="3"/>
  <c r="B2305" i="3"/>
  <c r="U2304" i="3"/>
  <c r="K2304" i="3"/>
  <c r="E2304" i="3"/>
  <c r="B2304" i="3"/>
  <c r="U2303" i="3"/>
  <c r="K2303" i="3"/>
  <c r="E2303" i="3"/>
  <c r="B2303" i="3"/>
  <c r="U2302" i="3"/>
  <c r="K2302" i="3"/>
  <c r="E2302" i="3"/>
  <c r="B2302" i="3"/>
  <c r="U2301" i="3"/>
  <c r="K2301" i="3"/>
  <c r="E2301" i="3"/>
  <c r="B2301" i="3"/>
  <c r="U2300" i="3"/>
  <c r="K2300" i="3"/>
  <c r="E2300" i="3"/>
  <c r="B2300" i="3"/>
  <c r="U2299" i="3"/>
  <c r="K2299" i="3"/>
  <c r="E2299" i="3"/>
  <c r="B2299" i="3"/>
  <c r="U2298" i="3"/>
  <c r="K2298" i="3"/>
  <c r="E2298" i="3"/>
  <c r="B2298" i="3"/>
  <c r="U2297" i="3"/>
  <c r="K2297" i="3"/>
  <c r="E2297" i="3"/>
  <c r="B2297" i="3"/>
  <c r="U2296" i="3"/>
  <c r="K2296" i="3"/>
  <c r="E2296" i="3"/>
  <c r="B2296" i="3"/>
  <c r="U2295" i="3"/>
  <c r="K2295" i="3"/>
  <c r="E2295" i="3"/>
  <c r="B2295" i="3"/>
  <c r="U2294" i="3"/>
  <c r="K2294" i="3"/>
  <c r="E2294" i="3"/>
  <c r="B2294" i="3"/>
  <c r="U2293" i="3"/>
  <c r="K2293" i="3"/>
  <c r="E2293" i="3"/>
  <c r="B2293" i="3"/>
  <c r="U2292" i="3"/>
  <c r="K2292" i="3"/>
  <c r="E2292" i="3"/>
  <c r="B2292" i="3"/>
  <c r="U2291" i="3"/>
  <c r="K2291" i="3"/>
  <c r="E2291" i="3"/>
  <c r="B2291" i="3"/>
  <c r="U2290" i="3"/>
  <c r="K2290" i="3"/>
  <c r="E2290" i="3"/>
  <c r="B2290" i="3"/>
  <c r="U2289" i="3"/>
  <c r="K2289" i="3"/>
  <c r="E2289" i="3"/>
  <c r="B2289" i="3"/>
  <c r="U2288" i="3"/>
  <c r="K2288" i="3"/>
  <c r="E2288" i="3"/>
  <c r="B2288" i="3"/>
  <c r="U2287" i="3"/>
  <c r="K2287" i="3"/>
  <c r="E2287" i="3"/>
  <c r="B2287" i="3"/>
  <c r="U2286" i="3"/>
  <c r="K2286" i="3"/>
  <c r="E2286" i="3"/>
  <c r="B2286" i="3"/>
  <c r="U2285" i="3"/>
  <c r="K2285" i="3"/>
  <c r="E2285" i="3"/>
  <c r="B2285" i="3"/>
  <c r="U2284" i="3"/>
  <c r="K2284" i="3"/>
  <c r="E2284" i="3"/>
  <c r="B2284" i="3"/>
  <c r="U2283" i="3"/>
  <c r="K2283" i="3"/>
  <c r="E2283" i="3"/>
  <c r="B2283" i="3"/>
  <c r="U2282" i="3"/>
  <c r="K2282" i="3"/>
  <c r="E2282" i="3"/>
  <c r="B2282" i="3"/>
  <c r="U2281" i="3"/>
  <c r="K2281" i="3"/>
  <c r="E2281" i="3"/>
  <c r="B2281" i="3"/>
  <c r="U2280" i="3"/>
  <c r="K2280" i="3"/>
  <c r="E2280" i="3"/>
  <c r="B2280" i="3"/>
  <c r="U2279" i="3"/>
  <c r="K2279" i="3"/>
  <c r="E2279" i="3"/>
  <c r="B2279" i="3"/>
  <c r="U2278" i="3"/>
  <c r="K2278" i="3"/>
  <c r="E2278" i="3"/>
  <c r="B2278" i="3"/>
  <c r="U2277" i="3"/>
  <c r="K2277" i="3"/>
  <c r="E2277" i="3"/>
  <c r="B2277" i="3"/>
  <c r="U2276" i="3"/>
  <c r="K2276" i="3"/>
  <c r="E2276" i="3"/>
  <c r="B2276" i="3"/>
  <c r="U2275" i="3"/>
  <c r="K2275" i="3"/>
  <c r="E2275" i="3"/>
  <c r="B2275" i="3"/>
  <c r="U2274" i="3"/>
  <c r="K2274" i="3"/>
  <c r="E2274" i="3"/>
  <c r="B2274" i="3"/>
  <c r="U2273" i="3"/>
  <c r="K2273" i="3"/>
  <c r="E2273" i="3"/>
  <c r="B2273" i="3"/>
  <c r="U2272" i="3"/>
  <c r="K2272" i="3"/>
  <c r="E2272" i="3"/>
  <c r="B2272" i="3"/>
  <c r="U2271" i="3"/>
  <c r="K2271" i="3"/>
  <c r="E2271" i="3"/>
  <c r="B2271" i="3"/>
  <c r="U2270" i="3"/>
  <c r="K2270" i="3"/>
  <c r="E2270" i="3"/>
  <c r="B2270" i="3"/>
  <c r="U2269" i="3"/>
  <c r="K2269" i="3"/>
  <c r="E2269" i="3"/>
  <c r="B2269" i="3"/>
  <c r="U2268" i="3"/>
  <c r="K2268" i="3"/>
  <c r="E2268" i="3"/>
  <c r="B2268" i="3"/>
  <c r="U2267" i="3"/>
  <c r="K2267" i="3"/>
  <c r="E2267" i="3"/>
  <c r="B2267" i="3"/>
  <c r="U2266" i="3"/>
  <c r="K2266" i="3"/>
  <c r="E2266" i="3"/>
  <c r="B2266" i="3"/>
  <c r="U2265" i="3"/>
  <c r="K2265" i="3"/>
  <c r="E2265" i="3"/>
  <c r="B2265" i="3"/>
  <c r="U2264" i="3"/>
  <c r="K2264" i="3"/>
  <c r="E2264" i="3"/>
  <c r="B2264" i="3"/>
  <c r="U2263" i="3"/>
  <c r="K2263" i="3"/>
  <c r="E2263" i="3"/>
  <c r="B2263" i="3"/>
  <c r="U2262" i="3"/>
  <c r="K2262" i="3"/>
  <c r="E2262" i="3"/>
  <c r="B2262" i="3"/>
  <c r="U2261" i="3"/>
  <c r="K2261" i="3"/>
  <c r="E2261" i="3"/>
  <c r="B2261" i="3"/>
  <c r="U2260" i="3"/>
  <c r="K2260" i="3"/>
  <c r="E2260" i="3"/>
  <c r="B2260" i="3"/>
  <c r="U2259" i="3"/>
  <c r="K2259" i="3"/>
  <c r="E2259" i="3"/>
  <c r="B2259" i="3"/>
  <c r="K2258" i="3"/>
  <c r="E2258" i="3"/>
  <c r="B2258" i="3"/>
  <c r="U2257" i="3"/>
  <c r="K2257" i="3"/>
  <c r="E2257" i="3"/>
  <c r="B2257" i="3"/>
  <c r="U2256" i="3"/>
  <c r="K2256" i="3"/>
  <c r="E2256" i="3"/>
  <c r="B2256" i="3"/>
  <c r="U2255" i="3"/>
  <c r="K2255" i="3"/>
  <c r="E2255" i="3"/>
  <c r="B2255" i="3"/>
  <c r="U2254" i="3"/>
  <c r="K2254" i="3"/>
  <c r="E2254" i="3"/>
  <c r="B2254" i="3"/>
  <c r="U2253" i="3"/>
  <c r="K2253" i="3"/>
  <c r="E2253" i="3"/>
  <c r="B2253" i="3"/>
  <c r="U2252" i="3"/>
  <c r="K2252" i="3"/>
  <c r="E2252" i="3"/>
  <c r="B2252" i="3"/>
  <c r="U2251" i="3"/>
  <c r="K2251" i="3"/>
  <c r="E2251" i="3"/>
  <c r="B2251" i="3"/>
  <c r="U2250" i="3"/>
  <c r="K2250" i="3"/>
  <c r="E2250" i="3"/>
  <c r="B2250" i="3"/>
  <c r="U2249" i="3"/>
  <c r="K2249" i="3"/>
  <c r="E2249" i="3"/>
  <c r="B2249" i="3"/>
  <c r="U2248" i="3"/>
  <c r="K2248" i="3"/>
  <c r="E2248" i="3"/>
  <c r="B2248" i="3"/>
  <c r="U2247" i="3"/>
  <c r="K2247" i="3"/>
  <c r="E2247" i="3"/>
  <c r="B2247" i="3"/>
  <c r="U2246" i="3"/>
  <c r="K2246" i="3"/>
  <c r="E2246" i="3"/>
  <c r="B2246" i="3"/>
  <c r="U2245" i="3"/>
  <c r="K2245" i="3"/>
  <c r="E2245" i="3"/>
  <c r="B2245" i="3"/>
  <c r="U2244" i="3"/>
  <c r="K2244" i="3"/>
  <c r="E2244" i="3"/>
  <c r="B2244" i="3"/>
  <c r="U2243" i="3"/>
  <c r="K2243" i="3"/>
  <c r="E2243" i="3"/>
  <c r="B2243" i="3"/>
  <c r="U2242" i="3"/>
  <c r="K2242" i="3"/>
  <c r="E2242" i="3"/>
  <c r="B2242" i="3"/>
  <c r="U2241" i="3"/>
  <c r="K2241" i="3"/>
  <c r="E2241" i="3"/>
  <c r="B2241" i="3"/>
  <c r="U2240" i="3"/>
  <c r="K2240" i="3"/>
  <c r="E2240" i="3"/>
  <c r="B2240" i="3"/>
  <c r="U2239" i="3"/>
  <c r="K2239" i="3"/>
  <c r="E2239" i="3"/>
  <c r="B2239" i="3"/>
  <c r="U2238" i="3"/>
  <c r="K2238" i="3"/>
  <c r="E2238" i="3"/>
  <c r="B2238" i="3"/>
  <c r="U2237" i="3"/>
  <c r="K2237" i="3"/>
  <c r="E2237" i="3"/>
  <c r="B2237" i="3"/>
  <c r="U2236" i="3"/>
  <c r="K2236" i="3"/>
  <c r="E2236" i="3"/>
  <c r="B2236" i="3"/>
  <c r="U2235" i="3"/>
  <c r="K2235" i="3"/>
  <c r="E2235" i="3"/>
  <c r="B2235" i="3"/>
  <c r="U2234" i="3"/>
  <c r="K2234" i="3"/>
  <c r="E2234" i="3"/>
  <c r="B2234" i="3"/>
  <c r="U2233" i="3"/>
  <c r="K2233" i="3"/>
  <c r="E2233" i="3"/>
  <c r="B2233" i="3"/>
  <c r="U2232" i="3"/>
  <c r="K2232" i="3"/>
  <c r="E2232" i="3"/>
  <c r="B2232" i="3"/>
  <c r="U2231" i="3"/>
  <c r="K2231" i="3"/>
  <c r="E2231" i="3"/>
  <c r="B2231" i="3"/>
  <c r="U2230" i="3"/>
  <c r="K2230" i="3"/>
  <c r="E2230" i="3"/>
  <c r="B2230" i="3"/>
  <c r="U2229" i="3"/>
  <c r="K2229" i="3"/>
  <c r="E2229" i="3"/>
  <c r="B2229" i="3"/>
  <c r="U2228" i="3"/>
  <c r="K2228" i="3"/>
  <c r="E2228" i="3"/>
  <c r="B2228" i="3"/>
  <c r="U2227" i="3"/>
  <c r="K2227" i="3"/>
  <c r="E2227" i="3"/>
  <c r="B2227" i="3"/>
  <c r="U2226" i="3"/>
  <c r="K2226" i="3"/>
  <c r="E2226" i="3"/>
  <c r="B2226" i="3"/>
  <c r="U2225" i="3"/>
  <c r="K2225" i="3"/>
  <c r="E2225" i="3"/>
  <c r="B2225" i="3"/>
  <c r="U2224" i="3"/>
  <c r="K2224" i="3"/>
  <c r="E2224" i="3"/>
  <c r="B2224" i="3"/>
  <c r="U2223" i="3"/>
  <c r="K2223" i="3"/>
  <c r="E2223" i="3"/>
  <c r="B2223" i="3"/>
  <c r="U2222" i="3"/>
  <c r="K2222" i="3"/>
  <c r="E2222" i="3"/>
  <c r="B2222" i="3"/>
  <c r="U2221" i="3"/>
  <c r="K2221" i="3"/>
  <c r="E2221" i="3"/>
  <c r="B2221" i="3"/>
  <c r="U2220" i="3"/>
  <c r="K2220" i="3"/>
  <c r="E2220" i="3"/>
  <c r="B2220" i="3"/>
  <c r="U2219" i="3"/>
  <c r="K2219" i="3"/>
  <c r="E2219" i="3"/>
  <c r="B2219" i="3"/>
  <c r="U2218" i="3"/>
  <c r="K2218" i="3"/>
  <c r="E2218" i="3"/>
  <c r="B2218" i="3"/>
  <c r="U2217" i="3"/>
  <c r="K2217" i="3"/>
  <c r="E2217" i="3"/>
  <c r="B2217" i="3"/>
  <c r="U2216" i="3"/>
  <c r="K2216" i="3"/>
  <c r="E2216" i="3"/>
  <c r="B2216" i="3"/>
  <c r="U2215" i="3"/>
  <c r="K2215" i="3"/>
  <c r="E2215" i="3"/>
  <c r="B2215" i="3"/>
  <c r="U2214" i="3"/>
  <c r="K2214" i="3"/>
  <c r="E2214" i="3"/>
  <c r="B2214" i="3"/>
  <c r="U2213" i="3"/>
  <c r="K2213" i="3"/>
  <c r="E2213" i="3"/>
  <c r="B2213" i="3"/>
  <c r="U2212" i="3"/>
  <c r="K2212" i="3"/>
  <c r="E2212" i="3"/>
  <c r="B2212" i="3"/>
  <c r="U2211" i="3"/>
  <c r="K2211" i="3"/>
  <c r="E2211" i="3"/>
  <c r="B2211" i="3"/>
  <c r="U2210" i="3"/>
  <c r="K2210" i="3"/>
  <c r="E2210" i="3"/>
  <c r="B2210" i="3"/>
  <c r="U2209" i="3"/>
  <c r="K2209" i="3"/>
  <c r="E2209" i="3"/>
  <c r="B2209" i="3"/>
  <c r="U2208" i="3"/>
  <c r="K2208" i="3"/>
  <c r="E2208" i="3"/>
  <c r="B2208" i="3"/>
  <c r="U2207" i="3"/>
  <c r="K2207" i="3"/>
  <c r="E2207" i="3"/>
  <c r="B2207" i="3"/>
  <c r="U2206" i="3"/>
  <c r="K2206" i="3"/>
  <c r="E2206" i="3"/>
  <c r="B2206" i="3"/>
  <c r="U2205" i="3"/>
  <c r="K2205" i="3"/>
  <c r="E2205" i="3"/>
  <c r="B2205" i="3"/>
  <c r="U2204" i="3"/>
  <c r="K2204" i="3"/>
  <c r="E2204" i="3"/>
  <c r="B2204" i="3"/>
  <c r="U2203" i="3"/>
  <c r="K2203" i="3"/>
  <c r="E2203" i="3"/>
  <c r="B2203" i="3"/>
  <c r="U2202" i="3"/>
  <c r="K2202" i="3"/>
  <c r="E2202" i="3"/>
  <c r="B2202" i="3"/>
  <c r="U2201" i="3"/>
  <c r="K2201" i="3"/>
  <c r="E2201" i="3"/>
  <c r="B2201" i="3"/>
  <c r="U2200" i="3"/>
  <c r="K2200" i="3"/>
  <c r="E2200" i="3"/>
  <c r="B2200" i="3"/>
  <c r="U2199" i="3"/>
  <c r="K2199" i="3"/>
  <c r="E2199" i="3"/>
  <c r="B2199" i="3"/>
  <c r="U2198" i="3"/>
  <c r="K2198" i="3"/>
  <c r="E2198" i="3"/>
  <c r="B2198" i="3"/>
  <c r="U2197" i="3"/>
  <c r="K2197" i="3"/>
  <c r="E2197" i="3"/>
  <c r="B2197" i="3"/>
  <c r="U2196" i="3"/>
  <c r="K2196" i="3"/>
  <c r="E2196" i="3"/>
  <c r="B2196" i="3"/>
  <c r="U2195" i="3"/>
  <c r="K2195" i="3"/>
  <c r="E2195" i="3"/>
  <c r="B2195" i="3"/>
  <c r="U2194" i="3"/>
  <c r="K2194" i="3"/>
  <c r="E2194" i="3"/>
  <c r="B2194" i="3"/>
  <c r="U2193" i="3"/>
  <c r="K2193" i="3"/>
  <c r="E2193" i="3"/>
  <c r="B2193" i="3"/>
  <c r="U2192" i="3"/>
  <c r="K2192" i="3"/>
  <c r="E2192" i="3"/>
  <c r="B2192" i="3"/>
  <c r="U2191" i="3"/>
  <c r="K2191" i="3"/>
  <c r="E2191" i="3"/>
  <c r="B2191" i="3"/>
  <c r="U2190" i="3"/>
  <c r="K2190" i="3"/>
  <c r="E2190" i="3"/>
  <c r="B2190" i="3"/>
  <c r="U2189" i="3"/>
  <c r="K2189" i="3"/>
  <c r="E2189" i="3"/>
  <c r="B2189" i="3"/>
  <c r="U2188" i="3"/>
  <c r="K2188" i="3"/>
  <c r="E2188" i="3"/>
  <c r="B2188" i="3"/>
  <c r="U2187" i="3"/>
  <c r="K2187" i="3"/>
  <c r="E2187" i="3"/>
  <c r="B2187" i="3"/>
  <c r="U2186" i="3"/>
  <c r="K2186" i="3"/>
  <c r="E2186" i="3"/>
  <c r="B2186" i="3"/>
  <c r="U2185" i="3"/>
  <c r="K2185" i="3"/>
  <c r="E2185" i="3"/>
  <c r="B2185" i="3"/>
  <c r="U2184" i="3"/>
  <c r="K2184" i="3"/>
  <c r="E2184" i="3"/>
  <c r="B2184" i="3"/>
  <c r="U2183" i="3"/>
  <c r="K2183" i="3"/>
  <c r="E2183" i="3"/>
  <c r="B2183" i="3"/>
  <c r="U2182" i="3"/>
  <c r="K2182" i="3"/>
  <c r="E2182" i="3"/>
  <c r="B2182" i="3"/>
  <c r="U2181" i="3"/>
  <c r="K2181" i="3"/>
  <c r="E2181" i="3"/>
  <c r="B2181" i="3"/>
  <c r="U2180" i="3"/>
  <c r="K2180" i="3"/>
  <c r="E2180" i="3"/>
  <c r="B2180" i="3"/>
  <c r="U2179" i="3"/>
  <c r="K2179" i="3"/>
  <c r="E2179" i="3"/>
  <c r="B2179" i="3"/>
  <c r="U2178" i="3"/>
  <c r="K2178" i="3"/>
  <c r="E2178" i="3"/>
  <c r="B2178" i="3"/>
  <c r="U2177" i="3"/>
  <c r="K2177" i="3"/>
  <c r="E2177" i="3"/>
  <c r="B2177" i="3"/>
  <c r="U2176" i="3"/>
  <c r="K2176" i="3"/>
  <c r="E2176" i="3"/>
  <c r="B2176" i="3"/>
  <c r="U2175" i="3"/>
  <c r="K2175" i="3"/>
  <c r="E2175" i="3"/>
  <c r="B2175" i="3"/>
  <c r="U2174" i="3"/>
  <c r="K2174" i="3"/>
  <c r="E2174" i="3"/>
  <c r="B2174" i="3"/>
  <c r="U2173" i="3"/>
  <c r="K2173" i="3"/>
  <c r="E2173" i="3"/>
  <c r="B2173" i="3"/>
  <c r="U2172" i="3"/>
  <c r="K2172" i="3"/>
  <c r="E2172" i="3"/>
  <c r="B2172" i="3"/>
  <c r="U2171" i="3"/>
  <c r="K2171" i="3"/>
  <c r="E2171" i="3"/>
  <c r="B2171" i="3"/>
  <c r="U2170" i="3"/>
  <c r="K2170" i="3"/>
  <c r="E2170" i="3"/>
  <c r="B2170" i="3"/>
  <c r="U2169" i="3"/>
  <c r="K2169" i="3"/>
  <c r="E2169" i="3"/>
  <c r="B2169" i="3"/>
  <c r="U2168" i="3"/>
  <c r="K2168" i="3"/>
  <c r="E2168" i="3"/>
  <c r="B2168" i="3"/>
  <c r="U2167" i="3"/>
  <c r="K2167" i="3"/>
  <c r="E2167" i="3"/>
  <c r="B2167" i="3"/>
  <c r="U2166" i="3"/>
  <c r="K2166" i="3"/>
  <c r="E2166" i="3"/>
  <c r="B2166" i="3"/>
  <c r="U2165" i="3"/>
  <c r="K2165" i="3"/>
  <c r="E2165" i="3"/>
  <c r="B2165" i="3"/>
  <c r="U2164" i="3"/>
  <c r="K2164" i="3"/>
  <c r="E2164" i="3"/>
  <c r="B2164" i="3"/>
  <c r="U2163" i="3"/>
  <c r="K2163" i="3"/>
  <c r="E2163" i="3"/>
  <c r="B2163" i="3"/>
  <c r="U2162" i="3"/>
  <c r="K2162" i="3"/>
  <c r="E2162" i="3"/>
  <c r="B2162" i="3"/>
  <c r="U2161" i="3"/>
  <c r="K2161" i="3"/>
  <c r="E2161" i="3"/>
  <c r="B2161" i="3"/>
  <c r="U2160" i="3"/>
  <c r="K2160" i="3"/>
  <c r="E2160" i="3"/>
  <c r="B2160" i="3"/>
  <c r="U2159" i="3"/>
  <c r="K2159" i="3"/>
  <c r="E2159" i="3"/>
  <c r="B2159" i="3"/>
  <c r="U2158" i="3"/>
  <c r="K2158" i="3"/>
  <c r="E2158" i="3"/>
  <c r="B2158" i="3"/>
  <c r="U2157" i="3"/>
  <c r="K2157" i="3"/>
  <c r="E2157" i="3"/>
  <c r="B2157" i="3"/>
  <c r="U2156" i="3"/>
  <c r="K2156" i="3"/>
  <c r="E2156" i="3"/>
  <c r="B2156" i="3"/>
  <c r="U2155" i="3"/>
  <c r="K2155" i="3"/>
  <c r="E2155" i="3"/>
  <c r="B2155" i="3"/>
  <c r="U2154" i="3"/>
  <c r="K2154" i="3"/>
  <c r="E2154" i="3"/>
  <c r="B2154" i="3"/>
  <c r="U2153" i="3"/>
  <c r="K2153" i="3"/>
  <c r="E2153" i="3"/>
  <c r="B2153" i="3"/>
  <c r="U2152" i="3"/>
  <c r="K2152" i="3"/>
  <c r="E2152" i="3"/>
  <c r="B2152" i="3"/>
  <c r="U2151" i="3"/>
  <c r="K2151" i="3"/>
  <c r="E2151" i="3"/>
  <c r="B2151" i="3"/>
  <c r="K2150" i="3"/>
  <c r="E2150" i="3"/>
  <c r="B2150" i="3"/>
  <c r="U2149" i="3"/>
  <c r="K2149" i="3"/>
  <c r="E2149" i="3"/>
  <c r="B2149" i="3"/>
  <c r="U2148" i="3"/>
  <c r="K2148" i="3"/>
  <c r="E2148" i="3"/>
  <c r="B2148" i="3"/>
  <c r="U2147" i="3"/>
  <c r="K2147" i="3"/>
  <c r="E2147" i="3"/>
  <c r="B2147" i="3"/>
  <c r="U2146" i="3"/>
  <c r="K2146" i="3"/>
  <c r="E2146" i="3"/>
  <c r="B2146" i="3"/>
  <c r="U2145" i="3"/>
  <c r="K2145" i="3"/>
  <c r="E2145" i="3"/>
  <c r="B2145" i="3"/>
  <c r="U2144" i="3"/>
  <c r="K2144" i="3"/>
  <c r="E2144" i="3"/>
  <c r="B2144" i="3"/>
  <c r="U2143" i="3"/>
  <c r="K2143" i="3"/>
  <c r="E2143" i="3"/>
  <c r="B2143" i="3"/>
  <c r="U2142" i="3"/>
  <c r="K2142" i="3"/>
  <c r="E2142" i="3"/>
  <c r="B2142" i="3"/>
  <c r="U2141" i="3"/>
  <c r="K2141" i="3"/>
  <c r="E2141" i="3"/>
  <c r="B2141" i="3"/>
  <c r="U2140" i="3"/>
  <c r="K2140" i="3"/>
  <c r="E2140" i="3"/>
  <c r="B2140" i="3"/>
  <c r="U2139" i="3"/>
  <c r="K2139" i="3"/>
  <c r="E2139" i="3"/>
  <c r="B2139" i="3"/>
  <c r="U2138" i="3"/>
  <c r="K2138" i="3"/>
  <c r="E2138" i="3"/>
  <c r="B2138" i="3"/>
  <c r="U2137" i="3"/>
  <c r="K2137" i="3"/>
  <c r="E2137" i="3"/>
  <c r="B2137" i="3"/>
  <c r="U2136" i="3"/>
  <c r="K2136" i="3"/>
  <c r="E2136" i="3"/>
  <c r="B2136" i="3"/>
  <c r="U2135" i="3"/>
  <c r="K2135" i="3"/>
  <c r="E2135" i="3"/>
  <c r="B2135" i="3"/>
  <c r="U2134" i="3"/>
  <c r="K2134" i="3"/>
  <c r="E2134" i="3"/>
  <c r="B2134" i="3"/>
  <c r="U2133" i="3"/>
  <c r="K2133" i="3"/>
  <c r="E2133" i="3"/>
  <c r="B2133" i="3"/>
  <c r="U2132" i="3"/>
  <c r="K2132" i="3"/>
  <c r="E2132" i="3"/>
  <c r="B2132" i="3"/>
  <c r="U2131" i="3"/>
  <c r="K2131" i="3"/>
  <c r="E2131" i="3"/>
  <c r="B2131" i="3"/>
  <c r="U2130" i="3"/>
  <c r="K2130" i="3"/>
  <c r="E2130" i="3"/>
  <c r="B2130" i="3"/>
  <c r="U2129" i="3"/>
  <c r="K2129" i="3"/>
  <c r="E2129" i="3"/>
  <c r="B2129" i="3"/>
  <c r="U2128" i="3"/>
  <c r="K2128" i="3"/>
  <c r="E2128" i="3"/>
  <c r="B2128" i="3"/>
  <c r="U2127" i="3"/>
  <c r="K2127" i="3"/>
  <c r="E2127" i="3"/>
  <c r="B2127" i="3"/>
  <c r="U2126" i="3"/>
  <c r="K2126" i="3"/>
  <c r="E2126" i="3"/>
  <c r="B2126" i="3"/>
  <c r="U2125" i="3"/>
  <c r="K2125" i="3"/>
  <c r="E2125" i="3"/>
  <c r="B2125" i="3"/>
  <c r="U2124" i="3"/>
  <c r="K2124" i="3"/>
  <c r="E2124" i="3"/>
  <c r="B2124" i="3"/>
  <c r="U2123" i="3"/>
  <c r="K2123" i="3"/>
  <c r="E2123" i="3"/>
  <c r="B2123" i="3"/>
  <c r="U2122" i="3"/>
  <c r="K2122" i="3"/>
  <c r="E2122" i="3"/>
  <c r="B2122" i="3"/>
  <c r="U2121" i="3"/>
  <c r="K2121" i="3"/>
  <c r="E2121" i="3"/>
  <c r="B2121" i="3"/>
  <c r="U2120" i="3"/>
  <c r="K2120" i="3"/>
  <c r="E2120" i="3"/>
  <c r="B2120" i="3"/>
  <c r="U2119" i="3"/>
  <c r="K2119" i="3"/>
  <c r="E2119" i="3"/>
  <c r="B2119" i="3"/>
  <c r="U2118" i="3"/>
  <c r="K2118" i="3"/>
  <c r="E2118" i="3"/>
  <c r="B2118" i="3"/>
  <c r="U2117" i="3"/>
  <c r="K2117" i="3"/>
  <c r="E2117" i="3"/>
  <c r="B2117" i="3"/>
  <c r="U2116" i="3"/>
  <c r="K2116" i="3"/>
  <c r="E2116" i="3"/>
  <c r="B2116" i="3"/>
  <c r="U2115" i="3"/>
  <c r="K2115" i="3"/>
  <c r="E2115" i="3"/>
  <c r="B2115" i="3"/>
  <c r="U2114" i="3"/>
  <c r="K2114" i="3"/>
  <c r="E2114" i="3"/>
  <c r="B2114" i="3"/>
  <c r="U2113" i="3"/>
  <c r="K2113" i="3"/>
  <c r="E2113" i="3"/>
  <c r="B2113" i="3"/>
  <c r="U2112" i="3"/>
  <c r="K2112" i="3"/>
  <c r="E2112" i="3"/>
  <c r="B2112" i="3"/>
  <c r="U2111" i="3"/>
  <c r="K2111" i="3"/>
  <c r="E2111" i="3"/>
  <c r="B2111" i="3"/>
  <c r="U2110" i="3"/>
  <c r="K2110" i="3"/>
  <c r="E2110" i="3"/>
  <c r="B2110" i="3"/>
  <c r="U2109" i="3"/>
  <c r="K2109" i="3"/>
  <c r="E2109" i="3"/>
  <c r="B2109" i="3"/>
  <c r="U2108" i="3"/>
  <c r="K2108" i="3"/>
  <c r="E2108" i="3"/>
  <c r="B2108" i="3"/>
  <c r="U2107" i="3"/>
  <c r="K2107" i="3"/>
  <c r="E2107" i="3"/>
  <c r="B2107" i="3"/>
  <c r="K2106" i="3"/>
  <c r="E2106" i="3"/>
  <c r="B2106" i="3"/>
  <c r="U2105" i="3"/>
  <c r="K2105" i="3"/>
  <c r="E2105" i="3"/>
  <c r="B2105" i="3"/>
  <c r="U2104" i="3"/>
  <c r="K2104" i="3"/>
  <c r="E2104" i="3"/>
  <c r="B2104" i="3"/>
  <c r="U2103" i="3"/>
  <c r="K2103" i="3"/>
  <c r="E2103" i="3"/>
  <c r="B2103" i="3"/>
  <c r="U2102" i="3"/>
  <c r="K2102" i="3"/>
  <c r="E2102" i="3"/>
  <c r="B2102" i="3"/>
  <c r="U2101" i="3"/>
  <c r="K2101" i="3"/>
  <c r="E2101" i="3"/>
  <c r="B2101" i="3"/>
  <c r="U2100" i="3"/>
  <c r="K2100" i="3"/>
  <c r="E2100" i="3"/>
  <c r="B2100" i="3"/>
  <c r="U2099" i="3"/>
  <c r="K2099" i="3"/>
  <c r="E2099" i="3"/>
  <c r="B2099" i="3"/>
  <c r="U2098" i="3"/>
  <c r="K2098" i="3"/>
  <c r="E2098" i="3"/>
  <c r="B2098" i="3"/>
  <c r="U2097" i="3"/>
  <c r="K2097" i="3"/>
  <c r="E2097" i="3"/>
  <c r="B2097" i="3"/>
  <c r="U2096" i="3"/>
  <c r="K2096" i="3"/>
  <c r="E2096" i="3"/>
  <c r="B2096" i="3"/>
  <c r="U2095" i="3"/>
  <c r="K2095" i="3"/>
  <c r="E2095" i="3"/>
  <c r="B2095" i="3"/>
  <c r="U2094" i="3"/>
  <c r="K2094" i="3"/>
  <c r="E2094" i="3"/>
  <c r="B2094" i="3"/>
  <c r="U2093" i="3"/>
  <c r="K2093" i="3"/>
  <c r="E2093" i="3"/>
  <c r="B2093" i="3"/>
  <c r="U2092" i="3"/>
  <c r="K2092" i="3"/>
  <c r="E2092" i="3"/>
  <c r="B2092" i="3"/>
  <c r="U2091" i="3"/>
  <c r="K2091" i="3"/>
  <c r="E2091" i="3"/>
  <c r="B2091" i="3"/>
  <c r="U2090" i="3"/>
  <c r="K2090" i="3"/>
  <c r="E2090" i="3"/>
  <c r="B2090" i="3"/>
  <c r="U2089" i="3"/>
  <c r="K2089" i="3"/>
  <c r="E2089" i="3"/>
  <c r="B2089" i="3"/>
  <c r="U2088" i="3"/>
  <c r="K2088" i="3"/>
  <c r="E2088" i="3"/>
  <c r="B2088" i="3"/>
  <c r="U2087" i="3"/>
  <c r="K2087" i="3"/>
  <c r="E2087" i="3"/>
  <c r="B2087" i="3"/>
  <c r="U2086" i="3"/>
  <c r="K2086" i="3"/>
  <c r="E2086" i="3"/>
  <c r="B2086" i="3"/>
  <c r="U2085" i="3"/>
  <c r="K2085" i="3"/>
  <c r="E2085" i="3"/>
  <c r="B2085" i="3"/>
  <c r="U2084" i="3"/>
  <c r="K2084" i="3"/>
  <c r="E2084" i="3"/>
  <c r="B2084" i="3"/>
  <c r="U2083" i="3"/>
  <c r="K2083" i="3"/>
  <c r="E2083" i="3"/>
  <c r="B2083" i="3"/>
  <c r="U2082" i="3"/>
  <c r="K2082" i="3"/>
  <c r="E2082" i="3"/>
  <c r="B2082" i="3"/>
  <c r="U2081" i="3"/>
  <c r="K2081" i="3"/>
  <c r="E2081" i="3"/>
  <c r="B2081" i="3"/>
  <c r="U2080" i="3"/>
  <c r="K2080" i="3"/>
  <c r="E2080" i="3"/>
  <c r="B2080" i="3"/>
  <c r="U2079" i="3"/>
  <c r="K2079" i="3"/>
  <c r="E2079" i="3"/>
  <c r="B2079" i="3"/>
  <c r="U2078" i="3"/>
  <c r="K2078" i="3"/>
  <c r="E2078" i="3"/>
  <c r="B2078" i="3"/>
  <c r="U2077" i="3"/>
  <c r="K2077" i="3"/>
  <c r="E2077" i="3"/>
  <c r="B2077" i="3"/>
  <c r="U2076" i="3"/>
  <c r="K2076" i="3"/>
  <c r="E2076" i="3"/>
  <c r="B2076" i="3"/>
  <c r="U2075" i="3"/>
  <c r="K2075" i="3"/>
  <c r="E2075" i="3"/>
  <c r="B2075" i="3"/>
  <c r="U2074" i="3"/>
  <c r="K2074" i="3"/>
  <c r="E2074" i="3"/>
  <c r="B2074" i="3"/>
  <c r="U2073" i="3"/>
  <c r="K2073" i="3"/>
  <c r="E2073" i="3"/>
  <c r="B2073" i="3"/>
  <c r="U2072" i="3"/>
  <c r="K2072" i="3"/>
  <c r="E2072" i="3"/>
  <c r="B2072" i="3"/>
  <c r="U2071" i="3"/>
  <c r="K2071" i="3"/>
  <c r="E2071" i="3"/>
  <c r="B2071" i="3"/>
  <c r="U2070" i="3"/>
  <c r="K2070" i="3"/>
  <c r="E2070" i="3"/>
  <c r="B2070" i="3"/>
  <c r="U2069" i="3"/>
  <c r="K2069" i="3"/>
  <c r="E2069" i="3"/>
  <c r="B2069" i="3"/>
  <c r="U2068" i="3"/>
  <c r="K2068" i="3"/>
  <c r="E2068" i="3"/>
  <c r="B2068" i="3"/>
  <c r="U2067" i="3"/>
  <c r="K2067" i="3"/>
  <c r="E2067" i="3"/>
  <c r="B2067" i="3"/>
  <c r="U2066" i="3"/>
  <c r="K2066" i="3"/>
  <c r="E2066" i="3"/>
  <c r="B2066" i="3"/>
  <c r="U2065" i="3"/>
  <c r="K2065" i="3"/>
  <c r="E2065" i="3"/>
  <c r="B2065" i="3"/>
  <c r="U2064" i="3"/>
  <c r="K2064" i="3"/>
  <c r="E2064" i="3"/>
  <c r="B2064" i="3"/>
  <c r="U2063" i="3"/>
  <c r="K2063" i="3"/>
  <c r="E2063" i="3"/>
  <c r="B2063" i="3"/>
  <c r="U2062" i="3"/>
  <c r="K2062" i="3"/>
  <c r="E2062" i="3"/>
  <c r="B2062" i="3"/>
  <c r="U2061" i="3"/>
  <c r="K2061" i="3"/>
  <c r="E2061" i="3"/>
  <c r="B2061" i="3"/>
  <c r="U2060" i="3"/>
  <c r="K2060" i="3"/>
  <c r="E2060" i="3"/>
  <c r="B2060" i="3"/>
  <c r="U2059" i="3"/>
  <c r="K2059" i="3"/>
  <c r="E2059" i="3"/>
  <c r="B2059" i="3"/>
  <c r="U2058" i="3"/>
  <c r="K2058" i="3"/>
  <c r="E2058" i="3"/>
  <c r="B2058" i="3"/>
  <c r="U2057" i="3"/>
  <c r="K2057" i="3"/>
  <c r="E2057" i="3"/>
  <c r="B2057" i="3"/>
  <c r="U2056" i="3"/>
  <c r="K2056" i="3"/>
  <c r="E2056" i="3"/>
  <c r="B2056" i="3"/>
  <c r="U2055" i="3"/>
  <c r="K2055" i="3"/>
  <c r="E2055" i="3"/>
  <c r="B2055" i="3"/>
  <c r="U2054" i="3"/>
  <c r="K2054" i="3"/>
  <c r="E2054" i="3"/>
  <c r="B2054" i="3"/>
  <c r="U2053" i="3"/>
  <c r="K2053" i="3"/>
  <c r="E2053" i="3"/>
  <c r="B2053" i="3"/>
  <c r="U2052" i="3"/>
  <c r="K2052" i="3"/>
  <c r="E2052" i="3"/>
  <c r="B2052" i="3"/>
  <c r="U2051" i="3"/>
  <c r="K2051" i="3"/>
  <c r="E2051" i="3"/>
  <c r="B2051" i="3"/>
  <c r="U2050" i="3"/>
  <c r="K2050" i="3"/>
  <c r="E2050" i="3"/>
  <c r="B2050" i="3"/>
  <c r="U2049" i="3"/>
  <c r="K2049" i="3"/>
  <c r="E2049" i="3"/>
  <c r="B2049" i="3"/>
  <c r="U2048" i="3"/>
  <c r="K2048" i="3"/>
  <c r="E2048" i="3"/>
  <c r="B2048" i="3"/>
  <c r="U2047" i="3"/>
  <c r="K2047" i="3"/>
  <c r="E2047" i="3"/>
  <c r="B2047" i="3"/>
  <c r="U2046" i="3"/>
  <c r="K2046" i="3"/>
  <c r="E2046" i="3"/>
  <c r="B2046" i="3"/>
  <c r="U2045" i="3"/>
  <c r="K2045" i="3"/>
  <c r="E2045" i="3"/>
  <c r="B2045" i="3"/>
  <c r="U2044" i="3"/>
  <c r="K2044" i="3"/>
  <c r="E2044" i="3"/>
  <c r="B2044" i="3"/>
  <c r="U2043" i="3"/>
  <c r="K2043" i="3"/>
  <c r="E2043" i="3"/>
  <c r="B2043" i="3"/>
  <c r="U2042" i="3"/>
  <c r="K2042" i="3"/>
  <c r="E2042" i="3"/>
  <c r="B2042" i="3"/>
  <c r="U2041" i="3"/>
  <c r="K2041" i="3"/>
  <c r="E2041" i="3"/>
  <c r="B2041" i="3"/>
  <c r="U2040" i="3"/>
  <c r="K2040" i="3"/>
  <c r="E2040" i="3"/>
  <c r="B2040" i="3"/>
  <c r="U2039" i="3"/>
  <c r="K2039" i="3"/>
  <c r="E2039" i="3"/>
  <c r="B2039" i="3"/>
  <c r="U2038" i="3"/>
  <c r="K2038" i="3"/>
  <c r="E2038" i="3"/>
  <c r="B2038" i="3"/>
  <c r="U2037" i="3"/>
  <c r="K2037" i="3"/>
  <c r="E2037" i="3"/>
  <c r="B2037" i="3"/>
  <c r="U2036" i="3"/>
  <c r="K2036" i="3"/>
  <c r="E2036" i="3"/>
  <c r="B2036" i="3"/>
  <c r="U2035" i="3"/>
  <c r="K2035" i="3"/>
  <c r="E2035" i="3"/>
  <c r="B2035" i="3"/>
  <c r="U2034" i="3"/>
  <c r="K2034" i="3"/>
  <c r="E2034" i="3"/>
  <c r="B2034" i="3"/>
  <c r="U2033" i="3"/>
  <c r="K2033" i="3"/>
  <c r="E2033" i="3"/>
  <c r="B2033" i="3"/>
  <c r="U2032" i="3"/>
  <c r="K2032" i="3"/>
  <c r="E2032" i="3"/>
  <c r="B2032" i="3"/>
  <c r="U2031" i="3"/>
  <c r="K2031" i="3"/>
  <c r="E2031" i="3"/>
  <c r="B2031" i="3"/>
  <c r="U2030" i="3"/>
  <c r="K2030" i="3"/>
  <c r="E2030" i="3"/>
  <c r="B2030" i="3"/>
  <c r="U2029" i="3"/>
  <c r="K2029" i="3"/>
  <c r="E2029" i="3"/>
  <c r="B2029" i="3"/>
  <c r="U2028" i="3"/>
  <c r="K2028" i="3"/>
  <c r="E2028" i="3"/>
  <c r="B2028" i="3"/>
  <c r="U2027" i="3"/>
  <c r="K2027" i="3"/>
  <c r="E2027" i="3"/>
  <c r="B2027" i="3"/>
  <c r="U2026" i="3"/>
  <c r="K2026" i="3"/>
  <c r="E2026" i="3"/>
  <c r="B2026" i="3"/>
  <c r="U2025" i="3"/>
  <c r="K2025" i="3"/>
  <c r="E2025" i="3"/>
  <c r="B2025" i="3"/>
  <c r="U2024" i="3"/>
  <c r="K2024" i="3"/>
  <c r="E2024" i="3"/>
  <c r="B2024" i="3"/>
  <c r="U2023" i="3"/>
  <c r="K2023" i="3"/>
  <c r="E2023" i="3"/>
  <c r="B2023" i="3"/>
  <c r="U2022" i="3"/>
  <c r="K2022" i="3"/>
  <c r="E2022" i="3"/>
  <c r="B2022" i="3"/>
  <c r="U2021" i="3"/>
  <c r="K2021" i="3"/>
  <c r="E2021" i="3"/>
  <c r="B2021" i="3"/>
  <c r="U2020" i="3"/>
  <c r="K2020" i="3"/>
  <c r="E2020" i="3"/>
  <c r="B2020" i="3"/>
  <c r="U2019" i="3"/>
  <c r="K2019" i="3"/>
  <c r="E2019" i="3"/>
  <c r="B2019" i="3"/>
  <c r="U2018" i="3"/>
  <c r="K2018" i="3"/>
  <c r="E2018" i="3"/>
  <c r="B2018" i="3"/>
  <c r="U2017" i="3"/>
  <c r="K2017" i="3"/>
  <c r="E2017" i="3"/>
  <c r="B2017" i="3"/>
  <c r="U2016" i="3"/>
  <c r="K2016" i="3"/>
  <c r="E2016" i="3"/>
  <c r="B2016" i="3"/>
  <c r="U2015" i="3"/>
  <c r="K2015" i="3"/>
  <c r="E2015" i="3"/>
  <c r="B2015" i="3"/>
  <c r="U2014" i="3"/>
  <c r="K2014" i="3"/>
  <c r="E2014" i="3"/>
  <c r="B2014" i="3"/>
  <c r="U2013" i="3"/>
  <c r="K2013" i="3"/>
  <c r="E2013" i="3"/>
  <c r="B2013" i="3"/>
  <c r="U2012" i="3"/>
  <c r="K2012" i="3"/>
  <c r="E2012" i="3"/>
  <c r="B2012" i="3"/>
  <c r="U2011" i="3"/>
  <c r="K2011" i="3"/>
  <c r="E2011" i="3"/>
  <c r="B2011" i="3"/>
  <c r="U2010" i="3"/>
  <c r="K2010" i="3"/>
  <c r="E2010" i="3"/>
  <c r="B2010" i="3"/>
  <c r="U2009" i="3"/>
  <c r="K2009" i="3"/>
  <c r="E2009" i="3"/>
  <c r="B2009" i="3"/>
  <c r="U2008" i="3"/>
  <c r="K2008" i="3"/>
  <c r="E2008" i="3"/>
  <c r="B2008" i="3"/>
  <c r="U2007" i="3"/>
  <c r="K2007" i="3"/>
  <c r="E2007" i="3"/>
  <c r="B2007" i="3"/>
  <c r="U2006" i="3"/>
  <c r="K2006" i="3"/>
  <c r="E2006" i="3"/>
  <c r="B2006" i="3"/>
  <c r="U2005" i="3"/>
  <c r="K2005" i="3"/>
  <c r="E2005" i="3"/>
  <c r="B2005" i="3"/>
  <c r="U2004" i="3"/>
  <c r="K2004" i="3"/>
  <c r="E2004" i="3"/>
  <c r="B2004" i="3"/>
  <c r="U2003" i="3"/>
  <c r="K2003" i="3"/>
  <c r="E2003" i="3"/>
  <c r="B2003" i="3"/>
  <c r="U2002" i="3"/>
  <c r="K2002" i="3"/>
  <c r="E2002" i="3"/>
  <c r="B2002" i="3"/>
  <c r="U2001" i="3"/>
  <c r="K2001" i="3"/>
  <c r="E2001" i="3"/>
  <c r="B2001" i="3"/>
  <c r="U2000" i="3"/>
  <c r="K2000" i="3"/>
  <c r="E2000" i="3"/>
  <c r="B2000" i="3"/>
  <c r="U1999" i="3"/>
  <c r="K1999" i="3"/>
  <c r="E1999" i="3"/>
  <c r="B1999" i="3"/>
  <c r="U1998" i="3"/>
  <c r="K1998" i="3"/>
  <c r="E1998" i="3"/>
  <c r="B1998" i="3"/>
  <c r="U1997" i="3"/>
  <c r="K1997" i="3"/>
  <c r="E1997" i="3"/>
  <c r="B1997" i="3"/>
  <c r="U1996" i="3"/>
  <c r="K1996" i="3"/>
  <c r="E1996" i="3"/>
  <c r="B1996" i="3"/>
  <c r="U1995" i="3"/>
  <c r="K1995" i="3"/>
  <c r="E1995" i="3"/>
  <c r="B1995" i="3"/>
  <c r="U1994" i="3"/>
  <c r="K1994" i="3"/>
  <c r="E1994" i="3"/>
  <c r="B1994" i="3"/>
  <c r="U1993" i="3"/>
  <c r="K1993" i="3"/>
  <c r="E1993" i="3"/>
  <c r="B1993" i="3"/>
  <c r="U1992" i="3"/>
  <c r="K1992" i="3"/>
  <c r="E1992" i="3"/>
  <c r="B1992" i="3"/>
  <c r="U1991" i="3"/>
  <c r="K1991" i="3"/>
  <c r="E1991" i="3"/>
  <c r="B1991" i="3"/>
  <c r="U1990" i="3"/>
  <c r="K1990" i="3"/>
  <c r="E1990" i="3"/>
  <c r="B1990" i="3"/>
  <c r="U1989" i="3"/>
  <c r="K1989" i="3"/>
  <c r="E1989" i="3"/>
  <c r="B1989" i="3"/>
  <c r="U1988" i="3"/>
  <c r="K1988" i="3"/>
  <c r="E1988" i="3"/>
  <c r="B1988" i="3"/>
  <c r="U1987" i="3"/>
  <c r="K1987" i="3"/>
  <c r="E1987" i="3"/>
  <c r="B1987" i="3"/>
  <c r="U1986" i="3"/>
  <c r="K1986" i="3"/>
  <c r="E1986" i="3"/>
  <c r="B1986" i="3"/>
  <c r="U1985" i="3"/>
  <c r="K1985" i="3"/>
  <c r="E1985" i="3"/>
  <c r="B1985" i="3"/>
  <c r="U1984" i="3"/>
  <c r="K1984" i="3"/>
  <c r="E1984" i="3"/>
  <c r="B1984" i="3"/>
  <c r="U1983" i="3"/>
  <c r="K1983" i="3"/>
  <c r="E1983" i="3"/>
  <c r="B1983" i="3"/>
  <c r="U1982" i="3"/>
  <c r="K1982" i="3"/>
  <c r="E1982" i="3"/>
  <c r="B1982" i="3"/>
  <c r="U1981" i="3"/>
  <c r="K1981" i="3"/>
  <c r="E1981" i="3"/>
  <c r="B1981" i="3"/>
  <c r="U1980" i="3"/>
  <c r="K1980" i="3"/>
  <c r="E1980" i="3"/>
  <c r="B1980" i="3"/>
  <c r="U1979" i="3"/>
  <c r="K1979" i="3"/>
  <c r="E1979" i="3"/>
  <c r="B1979" i="3"/>
  <c r="U1978" i="3"/>
  <c r="K1978" i="3"/>
  <c r="E1978" i="3"/>
  <c r="B1978" i="3"/>
  <c r="U1977" i="3"/>
  <c r="K1977" i="3"/>
  <c r="E1977" i="3"/>
  <c r="B1977" i="3"/>
  <c r="U1976" i="3"/>
  <c r="K1976" i="3"/>
  <c r="E1976" i="3"/>
  <c r="B1976" i="3"/>
  <c r="U1975" i="3"/>
  <c r="K1975" i="3"/>
  <c r="E1975" i="3"/>
  <c r="B1975" i="3"/>
  <c r="U1974" i="3"/>
  <c r="K1974" i="3"/>
  <c r="E1974" i="3"/>
  <c r="B1974" i="3"/>
  <c r="U1973" i="3"/>
  <c r="K1973" i="3"/>
  <c r="E1973" i="3"/>
  <c r="B1973" i="3"/>
  <c r="U1972" i="3"/>
  <c r="K1972" i="3"/>
  <c r="E1972" i="3"/>
  <c r="B1972" i="3"/>
  <c r="U1971" i="3"/>
  <c r="K1971" i="3"/>
  <c r="E1971" i="3"/>
  <c r="B1971" i="3"/>
  <c r="U1970" i="3"/>
  <c r="K1970" i="3"/>
  <c r="E1970" i="3"/>
  <c r="B1970" i="3"/>
  <c r="U1969" i="3"/>
  <c r="K1969" i="3"/>
  <c r="E1969" i="3"/>
  <c r="B1969" i="3"/>
  <c r="U1968" i="3"/>
  <c r="K1968" i="3"/>
  <c r="E1968" i="3"/>
  <c r="B1968" i="3"/>
  <c r="U1967" i="3"/>
  <c r="K1967" i="3"/>
  <c r="E1967" i="3"/>
  <c r="B1967" i="3"/>
  <c r="U1966" i="3"/>
  <c r="K1966" i="3"/>
  <c r="E1966" i="3"/>
  <c r="B1966" i="3"/>
  <c r="U1965" i="3"/>
  <c r="K1965" i="3"/>
  <c r="E1965" i="3"/>
  <c r="B1965" i="3"/>
  <c r="U1964" i="3"/>
  <c r="K1964" i="3"/>
  <c r="E1964" i="3"/>
  <c r="B1964" i="3"/>
  <c r="U1963" i="3"/>
  <c r="K1963" i="3"/>
  <c r="E1963" i="3"/>
  <c r="B1963" i="3"/>
  <c r="U1962" i="3"/>
  <c r="K1962" i="3"/>
  <c r="E1962" i="3"/>
  <c r="B1962" i="3"/>
  <c r="U1961" i="3"/>
  <c r="K1961" i="3"/>
  <c r="E1961" i="3"/>
  <c r="B1961" i="3"/>
  <c r="U1960" i="3"/>
  <c r="K1960" i="3"/>
  <c r="E1960" i="3"/>
  <c r="B1960" i="3"/>
  <c r="U1959" i="3"/>
  <c r="K1959" i="3"/>
  <c r="E1959" i="3"/>
  <c r="B1959" i="3"/>
  <c r="U1958" i="3"/>
  <c r="K1958" i="3"/>
  <c r="E1958" i="3"/>
  <c r="B1958" i="3"/>
  <c r="U1957" i="3"/>
  <c r="K1957" i="3"/>
  <c r="E1957" i="3"/>
  <c r="B1957" i="3"/>
  <c r="U1956" i="3"/>
  <c r="K1956" i="3"/>
  <c r="E1956" i="3"/>
  <c r="B1956" i="3"/>
  <c r="U1955" i="3"/>
  <c r="K1955" i="3"/>
  <c r="E1955" i="3"/>
  <c r="B1955" i="3"/>
  <c r="U1954" i="3"/>
  <c r="K1954" i="3"/>
  <c r="E1954" i="3"/>
  <c r="B1954" i="3"/>
  <c r="U1953" i="3"/>
  <c r="K1953" i="3"/>
  <c r="E1953" i="3"/>
  <c r="B1953" i="3"/>
  <c r="U1952" i="3"/>
  <c r="K1952" i="3"/>
  <c r="E1952" i="3"/>
  <c r="B1952" i="3"/>
  <c r="U1951" i="3"/>
  <c r="K1951" i="3"/>
  <c r="E1951" i="3"/>
  <c r="B1951" i="3"/>
  <c r="U1950" i="3"/>
  <c r="K1950" i="3"/>
  <c r="E1950" i="3"/>
  <c r="B1950" i="3"/>
  <c r="U1949" i="3"/>
  <c r="K1949" i="3"/>
  <c r="E1949" i="3"/>
  <c r="B1949" i="3"/>
  <c r="U1948" i="3"/>
  <c r="K1948" i="3"/>
  <c r="E1948" i="3"/>
  <c r="B1948" i="3"/>
  <c r="U1947" i="3"/>
  <c r="K1947" i="3"/>
  <c r="E1947" i="3"/>
  <c r="B1947" i="3"/>
  <c r="U1946" i="3"/>
  <c r="K1946" i="3"/>
  <c r="E1946" i="3"/>
  <c r="B1946" i="3"/>
  <c r="U1945" i="3"/>
  <c r="K1945" i="3"/>
  <c r="E1945" i="3"/>
  <c r="B1945" i="3"/>
  <c r="U1944" i="3"/>
  <c r="K1944" i="3"/>
  <c r="E1944" i="3"/>
  <c r="B1944" i="3"/>
  <c r="U1943" i="3"/>
  <c r="K1943" i="3"/>
  <c r="E1943" i="3"/>
  <c r="B1943" i="3"/>
  <c r="U1942" i="3"/>
  <c r="K1942" i="3"/>
  <c r="E1942" i="3"/>
  <c r="B1942" i="3"/>
  <c r="U1941" i="3"/>
  <c r="K1941" i="3"/>
  <c r="E1941" i="3"/>
  <c r="B1941" i="3"/>
  <c r="U1940" i="3"/>
  <c r="K1940" i="3"/>
  <c r="E1940" i="3"/>
  <c r="B1940" i="3"/>
  <c r="U1939" i="3"/>
  <c r="K1939" i="3"/>
  <c r="E1939" i="3"/>
  <c r="B1939" i="3"/>
  <c r="U1938" i="3"/>
  <c r="K1938" i="3"/>
  <c r="E1938" i="3"/>
  <c r="B1938" i="3"/>
  <c r="U1937" i="3"/>
  <c r="K1937" i="3"/>
  <c r="E1937" i="3"/>
  <c r="B1937" i="3"/>
  <c r="U1936" i="3"/>
  <c r="K1936" i="3"/>
  <c r="E1936" i="3"/>
  <c r="B1936" i="3"/>
  <c r="U1935" i="3"/>
  <c r="K1935" i="3"/>
  <c r="E1935" i="3"/>
  <c r="B1935" i="3"/>
  <c r="U1934" i="3"/>
  <c r="K1934" i="3"/>
  <c r="E1934" i="3"/>
  <c r="B1934" i="3"/>
  <c r="U1933" i="3"/>
  <c r="K1933" i="3"/>
  <c r="E1933" i="3"/>
  <c r="B1933" i="3"/>
  <c r="U1932" i="3"/>
  <c r="K1932" i="3"/>
  <c r="E1932" i="3"/>
  <c r="B1932" i="3"/>
  <c r="U1931" i="3"/>
  <c r="K1931" i="3"/>
  <c r="E1931" i="3"/>
  <c r="B1931" i="3"/>
  <c r="U1930" i="3"/>
  <c r="K1930" i="3"/>
  <c r="E1930" i="3"/>
  <c r="B1930" i="3"/>
  <c r="U1929" i="3"/>
  <c r="K1929" i="3"/>
  <c r="E1929" i="3"/>
  <c r="B1929" i="3"/>
  <c r="U1928" i="3"/>
  <c r="K1928" i="3"/>
  <c r="E1928" i="3"/>
  <c r="B1928" i="3"/>
  <c r="U1927" i="3"/>
  <c r="K1927" i="3"/>
  <c r="E1927" i="3"/>
  <c r="B1927" i="3"/>
  <c r="U1926" i="3"/>
  <c r="K1926" i="3"/>
  <c r="E1926" i="3"/>
  <c r="B1926" i="3"/>
  <c r="U1925" i="3"/>
  <c r="K1925" i="3"/>
  <c r="E1925" i="3"/>
  <c r="B1925" i="3"/>
  <c r="U1924" i="3"/>
  <c r="K1924" i="3"/>
  <c r="E1924" i="3"/>
  <c r="B1924" i="3"/>
  <c r="U1923" i="3"/>
  <c r="K1923" i="3"/>
  <c r="E1923" i="3"/>
  <c r="B1923" i="3"/>
  <c r="U1922" i="3"/>
  <c r="K1922" i="3"/>
  <c r="E1922" i="3"/>
  <c r="B1922" i="3"/>
  <c r="U1921" i="3"/>
  <c r="K1921" i="3"/>
  <c r="E1921" i="3"/>
  <c r="B1921" i="3"/>
  <c r="U1920" i="3"/>
  <c r="K1920" i="3"/>
  <c r="E1920" i="3"/>
  <c r="B1920" i="3"/>
  <c r="U1919" i="3"/>
  <c r="K1919" i="3"/>
  <c r="E1919" i="3"/>
  <c r="B1919" i="3"/>
  <c r="U1918" i="3"/>
  <c r="K1918" i="3"/>
  <c r="E1918" i="3"/>
  <c r="B1918" i="3"/>
  <c r="U1917" i="3"/>
  <c r="K1917" i="3"/>
  <c r="E1917" i="3"/>
  <c r="B1917" i="3"/>
  <c r="U1916" i="3"/>
  <c r="K1916" i="3"/>
  <c r="E1916" i="3"/>
  <c r="B1916" i="3"/>
  <c r="U1915" i="3"/>
  <c r="K1915" i="3"/>
  <c r="E1915" i="3"/>
  <c r="B1915" i="3"/>
  <c r="U1914" i="3"/>
  <c r="K1914" i="3"/>
  <c r="E1914" i="3"/>
  <c r="B1914" i="3"/>
  <c r="U1913" i="3"/>
  <c r="K1913" i="3"/>
  <c r="E1913" i="3"/>
  <c r="B1913" i="3"/>
  <c r="U1912" i="3"/>
  <c r="K1912" i="3"/>
  <c r="E1912" i="3"/>
  <c r="B1912" i="3"/>
  <c r="U1911" i="3"/>
  <c r="K1911" i="3"/>
  <c r="E1911" i="3"/>
  <c r="B1911" i="3"/>
  <c r="U1910" i="3"/>
  <c r="K1910" i="3"/>
  <c r="E1910" i="3"/>
  <c r="B1910" i="3"/>
  <c r="U1909" i="3"/>
  <c r="K1909" i="3"/>
  <c r="E1909" i="3"/>
  <c r="B1909" i="3"/>
  <c r="U1908" i="3"/>
  <c r="K1908" i="3"/>
  <c r="E1908" i="3"/>
  <c r="B1908" i="3"/>
  <c r="U1907" i="3"/>
  <c r="K1907" i="3"/>
  <c r="E1907" i="3"/>
  <c r="B1907" i="3"/>
  <c r="U1906" i="3"/>
  <c r="K1906" i="3"/>
  <c r="E1906" i="3"/>
  <c r="B1906" i="3"/>
  <c r="U1905" i="3"/>
  <c r="K1905" i="3"/>
  <c r="E1905" i="3"/>
  <c r="B1905" i="3"/>
  <c r="U1904" i="3"/>
  <c r="K1904" i="3"/>
  <c r="E1904" i="3"/>
  <c r="B1904" i="3"/>
  <c r="U1903" i="3"/>
  <c r="K1903" i="3"/>
  <c r="E1903" i="3"/>
  <c r="B1903" i="3"/>
  <c r="U1902" i="3"/>
  <c r="K1902" i="3"/>
  <c r="E1902" i="3"/>
  <c r="B1902" i="3"/>
  <c r="U1901" i="3"/>
  <c r="K1901" i="3"/>
  <c r="E1901" i="3"/>
  <c r="B1901" i="3"/>
  <c r="U1900" i="3"/>
  <c r="K1900" i="3"/>
  <c r="E1900" i="3"/>
  <c r="B1900" i="3"/>
  <c r="U1899" i="3"/>
  <c r="K1899" i="3"/>
  <c r="E1899" i="3"/>
  <c r="B1899" i="3"/>
  <c r="U1898" i="3"/>
  <c r="K1898" i="3"/>
  <c r="E1898" i="3"/>
  <c r="B1898" i="3"/>
  <c r="U1897" i="3"/>
  <c r="K1897" i="3"/>
  <c r="E1897" i="3"/>
  <c r="B1897" i="3"/>
  <c r="U1896" i="3"/>
  <c r="K1896" i="3"/>
  <c r="E1896" i="3"/>
  <c r="B1896" i="3"/>
  <c r="U1895" i="3"/>
  <c r="K1895" i="3"/>
  <c r="E1895" i="3"/>
  <c r="B1895" i="3"/>
  <c r="U1894" i="3"/>
  <c r="K1894" i="3"/>
  <c r="E1894" i="3"/>
  <c r="B1894" i="3"/>
  <c r="U1893" i="3"/>
  <c r="K1893" i="3"/>
  <c r="E1893" i="3"/>
  <c r="B1893" i="3"/>
  <c r="U1892" i="3"/>
  <c r="K1892" i="3"/>
  <c r="E1892" i="3"/>
  <c r="B1892" i="3"/>
  <c r="U1891" i="3"/>
  <c r="K1891" i="3"/>
  <c r="E1891" i="3"/>
  <c r="B1891" i="3"/>
  <c r="U1890" i="3"/>
  <c r="K1890" i="3"/>
  <c r="E1890" i="3"/>
  <c r="B1890" i="3"/>
  <c r="U1889" i="3"/>
  <c r="K1889" i="3"/>
  <c r="E1889" i="3"/>
  <c r="B1889" i="3"/>
  <c r="U1888" i="3"/>
  <c r="K1888" i="3"/>
  <c r="E1888" i="3"/>
  <c r="B1888" i="3"/>
  <c r="U1887" i="3"/>
  <c r="K1887" i="3"/>
  <c r="E1887" i="3"/>
  <c r="B1887" i="3"/>
  <c r="U1886" i="3"/>
  <c r="K1886" i="3"/>
  <c r="E1886" i="3"/>
  <c r="B1886" i="3"/>
  <c r="U1885" i="3"/>
  <c r="K1885" i="3"/>
  <c r="E1885" i="3"/>
  <c r="B1885" i="3"/>
  <c r="U1884" i="3"/>
  <c r="K1884" i="3"/>
  <c r="E1884" i="3"/>
  <c r="B1884" i="3"/>
  <c r="U1883" i="3"/>
  <c r="K1883" i="3"/>
  <c r="E1883" i="3"/>
  <c r="B1883" i="3"/>
  <c r="U1882" i="3"/>
  <c r="K1882" i="3"/>
  <c r="E1882" i="3"/>
  <c r="B1882" i="3"/>
  <c r="U1881" i="3"/>
  <c r="K1881" i="3"/>
  <c r="E1881" i="3"/>
  <c r="B1881" i="3"/>
  <c r="U1880" i="3"/>
  <c r="K1880" i="3"/>
  <c r="E1880" i="3"/>
  <c r="B1880" i="3"/>
  <c r="U1879" i="3"/>
  <c r="K1879" i="3"/>
  <c r="E1879" i="3"/>
  <c r="B1879" i="3"/>
  <c r="U1878" i="3"/>
  <c r="K1878" i="3"/>
  <c r="E1878" i="3"/>
  <c r="B1878" i="3"/>
  <c r="U1877" i="3"/>
  <c r="K1877" i="3"/>
  <c r="E1877" i="3"/>
  <c r="B1877" i="3"/>
  <c r="U1876" i="3"/>
  <c r="K1876" i="3"/>
  <c r="E1876" i="3"/>
  <c r="B1876" i="3"/>
  <c r="U1875" i="3"/>
  <c r="K1875" i="3"/>
  <c r="E1875" i="3"/>
  <c r="B1875" i="3"/>
  <c r="U1874" i="3"/>
  <c r="K1874" i="3"/>
  <c r="E1874" i="3"/>
  <c r="B1874" i="3"/>
  <c r="U1873" i="3"/>
  <c r="K1873" i="3"/>
  <c r="E1873" i="3"/>
  <c r="B1873" i="3"/>
  <c r="U1872" i="3"/>
  <c r="K1872" i="3"/>
  <c r="E1872" i="3"/>
  <c r="B1872" i="3"/>
  <c r="U1871" i="3"/>
  <c r="K1871" i="3"/>
  <c r="E1871" i="3"/>
  <c r="B1871" i="3"/>
  <c r="U1870" i="3"/>
  <c r="K1870" i="3"/>
  <c r="E1870" i="3"/>
  <c r="B1870" i="3"/>
  <c r="U1869" i="3"/>
  <c r="K1869" i="3"/>
  <c r="E1869" i="3"/>
  <c r="B1869" i="3"/>
  <c r="U1868" i="3"/>
  <c r="K1868" i="3"/>
  <c r="E1868" i="3"/>
  <c r="B1868" i="3"/>
  <c r="U1867" i="3"/>
  <c r="K1867" i="3"/>
  <c r="E1867" i="3"/>
  <c r="B1867" i="3"/>
  <c r="U1866" i="3"/>
  <c r="K1866" i="3"/>
  <c r="E1866" i="3"/>
  <c r="B1866" i="3"/>
  <c r="U1865" i="3"/>
  <c r="K1865" i="3"/>
  <c r="E1865" i="3"/>
  <c r="B1865" i="3"/>
  <c r="U1864" i="3"/>
  <c r="K1864" i="3"/>
  <c r="E1864" i="3"/>
  <c r="B1864" i="3"/>
  <c r="U1863" i="3"/>
  <c r="K1863" i="3"/>
  <c r="E1863" i="3"/>
  <c r="B1863" i="3"/>
  <c r="U1862" i="3"/>
  <c r="K1862" i="3"/>
  <c r="E1862" i="3"/>
  <c r="B1862" i="3"/>
  <c r="U1861" i="3"/>
  <c r="K1861" i="3"/>
  <c r="E1861" i="3"/>
  <c r="B1861" i="3"/>
  <c r="U1860" i="3"/>
  <c r="K1860" i="3"/>
  <c r="E1860" i="3"/>
  <c r="B1860" i="3"/>
  <c r="U1859" i="3"/>
  <c r="K1859" i="3"/>
  <c r="E1859" i="3"/>
  <c r="B1859" i="3"/>
  <c r="U1858" i="3"/>
  <c r="K1858" i="3"/>
  <c r="E1858" i="3"/>
  <c r="B1858" i="3"/>
  <c r="U1857" i="3"/>
  <c r="K1857" i="3"/>
  <c r="E1857" i="3"/>
  <c r="B1857" i="3"/>
  <c r="U1856" i="3"/>
  <c r="K1856" i="3"/>
  <c r="E1856" i="3"/>
  <c r="B1856" i="3"/>
  <c r="U1855" i="3"/>
  <c r="K1855" i="3"/>
  <c r="E1855" i="3"/>
  <c r="B1855" i="3"/>
  <c r="U1854" i="3"/>
  <c r="K1854" i="3"/>
  <c r="E1854" i="3"/>
  <c r="B1854" i="3"/>
  <c r="U1853" i="3"/>
  <c r="K1853" i="3"/>
  <c r="E1853" i="3"/>
  <c r="B1853" i="3"/>
  <c r="U1852" i="3"/>
  <c r="K1852" i="3"/>
  <c r="E1852" i="3"/>
  <c r="B1852" i="3"/>
  <c r="U1851" i="3"/>
  <c r="K1851" i="3"/>
  <c r="E1851" i="3"/>
  <c r="B1851" i="3"/>
  <c r="U1850" i="3"/>
  <c r="K1850" i="3"/>
  <c r="E1850" i="3"/>
  <c r="B1850" i="3"/>
  <c r="U1849" i="3"/>
  <c r="K1849" i="3"/>
  <c r="E1849" i="3"/>
  <c r="B1849" i="3"/>
  <c r="U1848" i="3"/>
  <c r="K1848" i="3"/>
  <c r="E1848" i="3"/>
  <c r="B1848" i="3"/>
  <c r="U1847" i="3"/>
  <c r="K1847" i="3"/>
  <c r="E1847" i="3"/>
  <c r="B1847" i="3"/>
  <c r="U1846" i="3"/>
  <c r="K1846" i="3"/>
  <c r="E1846" i="3"/>
  <c r="B1846" i="3"/>
  <c r="U1845" i="3"/>
  <c r="K1845" i="3"/>
  <c r="E1845" i="3"/>
  <c r="B1845" i="3"/>
  <c r="U1844" i="3"/>
  <c r="K1844" i="3"/>
  <c r="E1844" i="3"/>
  <c r="B1844" i="3"/>
  <c r="U1843" i="3"/>
  <c r="K1843" i="3"/>
  <c r="E1843" i="3"/>
  <c r="B1843" i="3"/>
  <c r="U1842" i="3"/>
  <c r="K1842" i="3"/>
  <c r="E1842" i="3"/>
  <c r="B1842" i="3"/>
  <c r="U1841" i="3"/>
  <c r="K1841" i="3"/>
  <c r="E1841" i="3"/>
  <c r="B1841" i="3"/>
  <c r="U1840" i="3"/>
  <c r="K1840" i="3"/>
  <c r="E1840" i="3"/>
  <c r="B1840" i="3"/>
  <c r="U1839" i="3"/>
  <c r="K1839" i="3"/>
  <c r="E1839" i="3"/>
  <c r="B1839" i="3"/>
  <c r="U1838" i="3"/>
  <c r="K1838" i="3"/>
  <c r="E1838" i="3"/>
  <c r="B1838" i="3"/>
  <c r="U1837" i="3"/>
  <c r="K1837" i="3"/>
  <c r="E1837" i="3"/>
  <c r="B1837" i="3"/>
  <c r="U1836" i="3"/>
  <c r="K1836" i="3"/>
  <c r="E1836" i="3"/>
  <c r="B1836" i="3"/>
  <c r="U1835" i="3"/>
  <c r="K1835" i="3"/>
  <c r="E1835" i="3"/>
  <c r="B1835" i="3"/>
  <c r="U1834" i="3"/>
  <c r="K1834" i="3"/>
  <c r="E1834" i="3"/>
  <c r="B1834" i="3"/>
  <c r="U1833" i="3"/>
  <c r="K1833" i="3"/>
  <c r="E1833" i="3"/>
  <c r="B1833" i="3"/>
  <c r="U1832" i="3"/>
  <c r="K1832" i="3"/>
  <c r="E1832" i="3"/>
  <c r="B1832" i="3"/>
  <c r="U1831" i="3"/>
  <c r="K1831" i="3"/>
  <c r="E1831" i="3"/>
  <c r="B1831" i="3"/>
  <c r="U1830" i="3"/>
  <c r="K1830" i="3"/>
  <c r="E1830" i="3"/>
  <c r="B1830" i="3"/>
  <c r="U1829" i="3"/>
  <c r="K1829" i="3"/>
  <c r="E1829" i="3"/>
  <c r="B1829" i="3"/>
  <c r="U1828" i="3"/>
  <c r="K1828" i="3"/>
  <c r="E1828" i="3"/>
  <c r="B1828" i="3"/>
  <c r="U1827" i="3"/>
  <c r="K1827" i="3"/>
  <c r="E1827" i="3"/>
  <c r="B1827" i="3"/>
  <c r="U1826" i="3"/>
  <c r="K1826" i="3"/>
  <c r="E1826" i="3"/>
  <c r="B1826" i="3"/>
  <c r="U1825" i="3"/>
  <c r="K1825" i="3"/>
  <c r="E1825" i="3"/>
  <c r="B1825" i="3"/>
  <c r="U1824" i="3"/>
  <c r="K1824" i="3"/>
  <c r="E1824" i="3"/>
  <c r="B1824" i="3"/>
  <c r="U1823" i="3"/>
  <c r="K1823" i="3"/>
  <c r="E1823" i="3"/>
  <c r="B1823" i="3"/>
  <c r="U1822" i="3"/>
  <c r="K1822" i="3"/>
  <c r="E1822" i="3"/>
  <c r="B1822" i="3"/>
  <c r="U1821" i="3"/>
  <c r="K1821" i="3"/>
  <c r="E1821" i="3"/>
  <c r="B1821" i="3"/>
  <c r="U1820" i="3"/>
  <c r="K1820" i="3"/>
  <c r="E1820" i="3"/>
  <c r="B1820" i="3"/>
  <c r="U1819" i="3"/>
  <c r="K1819" i="3"/>
  <c r="E1819" i="3"/>
  <c r="B1819" i="3"/>
  <c r="U1818" i="3"/>
  <c r="K1818" i="3"/>
  <c r="E1818" i="3"/>
  <c r="B1818" i="3"/>
  <c r="U1817" i="3"/>
  <c r="K1817" i="3"/>
  <c r="E1817" i="3"/>
  <c r="B1817" i="3"/>
  <c r="U1816" i="3"/>
  <c r="K1816" i="3"/>
  <c r="E1816" i="3"/>
  <c r="B1816" i="3"/>
  <c r="U1815" i="3"/>
  <c r="K1815" i="3"/>
  <c r="E1815" i="3"/>
  <c r="B1815" i="3"/>
  <c r="U1814" i="3"/>
  <c r="K1814" i="3"/>
  <c r="E1814" i="3"/>
  <c r="B1814" i="3"/>
  <c r="U1813" i="3"/>
  <c r="K1813" i="3"/>
  <c r="E1813" i="3"/>
  <c r="B1813" i="3"/>
  <c r="U1812" i="3"/>
  <c r="K1812" i="3"/>
  <c r="E1812" i="3"/>
  <c r="B1812" i="3"/>
  <c r="U1811" i="3"/>
  <c r="K1811" i="3"/>
  <c r="E1811" i="3"/>
  <c r="B1811" i="3"/>
  <c r="U1810" i="3"/>
  <c r="K1810" i="3"/>
  <c r="E1810" i="3"/>
  <c r="B1810" i="3"/>
  <c r="U1809" i="3"/>
  <c r="K1809" i="3"/>
  <c r="E1809" i="3"/>
  <c r="B1809" i="3"/>
  <c r="U1808" i="3"/>
  <c r="K1808" i="3"/>
  <c r="E1808" i="3"/>
  <c r="B1808" i="3"/>
  <c r="U1807" i="3"/>
  <c r="K1807" i="3"/>
  <c r="E1807" i="3"/>
  <c r="B1807" i="3"/>
  <c r="U1806" i="3"/>
  <c r="K1806" i="3"/>
  <c r="E1806" i="3"/>
  <c r="B1806" i="3"/>
  <c r="U1805" i="3"/>
  <c r="K1805" i="3"/>
  <c r="E1805" i="3"/>
  <c r="B1805" i="3"/>
  <c r="U1804" i="3"/>
  <c r="K1804" i="3"/>
  <c r="E1804" i="3"/>
  <c r="B1804" i="3"/>
  <c r="U1803" i="3"/>
  <c r="K1803" i="3"/>
  <c r="E1803" i="3"/>
  <c r="B1803" i="3"/>
  <c r="U1802" i="3"/>
  <c r="K1802" i="3"/>
  <c r="E1802" i="3"/>
  <c r="B1802" i="3"/>
  <c r="U1801" i="3"/>
  <c r="K1801" i="3"/>
  <c r="E1801" i="3"/>
  <c r="B1801" i="3"/>
  <c r="U1800" i="3"/>
  <c r="K1800" i="3"/>
  <c r="E1800" i="3"/>
  <c r="B1800" i="3"/>
  <c r="U1799" i="3"/>
  <c r="K1799" i="3"/>
  <c r="E1799" i="3"/>
  <c r="B1799" i="3"/>
  <c r="U1798" i="3"/>
  <c r="K1798" i="3"/>
  <c r="E1798" i="3"/>
  <c r="B1798" i="3"/>
  <c r="U1797" i="3"/>
  <c r="K1797" i="3"/>
  <c r="E1797" i="3"/>
  <c r="B1797" i="3"/>
  <c r="U1796" i="3"/>
  <c r="K1796" i="3"/>
  <c r="E1796" i="3"/>
  <c r="B1796" i="3"/>
  <c r="U1795" i="3"/>
  <c r="K1795" i="3"/>
  <c r="E1795" i="3"/>
  <c r="B1795" i="3"/>
  <c r="U1794" i="3"/>
  <c r="K1794" i="3"/>
  <c r="E1794" i="3"/>
  <c r="B1794" i="3"/>
  <c r="U1793" i="3"/>
  <c r="K1793" i="3"/>
  <c r="E1793" i="3"/>
  <c r="B1793" i="3"/>
  <c r="U1792" i="3"/>
  <c r="K1792" i="3"/>
  <c r="E1792" i="3"/>
  <c r="B1792" i="3"/>
  <c r="U1791" i="3"/>
  <c r="K1791" i="3"/>
  <c r="E1791" i="3"/>
  <c r="B1791" i="3"/>
  <c r="U1790" i="3"/>
  <c r="K1790" i="3"/>
  <c r="E1790" i="3"/>
  <c r="B1790" i="3"/>
  <c r="U1789" i="3"/>
  <c r="K1789" i="3"/>
  <c r="E1789" i="3"/>
  <c r="B1789" i="3"/>
  <c r="U1788" i="3"/>
  <c r="K1788" i="3"/>
  <c r="E1788" i="3"/>
  <c r="B1788" i="3"/>
  <c r="U1787" i="3"/>
  <c r="K1787" i="3"/>
  <c r="E1787" i="3"/>
  <c r="B1787" i="3"/>
  <c r="U1786" i="3"/>
  <c r="K1786" i="3"/>
  <c r="E1786" i="3"/>
  <c r="B1786" i="3"/>
  <c r="U1785" i="3"/>
  <c r="K1785" i="3"/>
  <c r="E1785" i="3"/>
  <c r="B1785" i="3"/>
  <c r="U1784" i="3"/>
  <c r="K1784" i="3"/>
  <c r="E1784" i="3"/>
  <c r="B1784" i="3"/>
  <c r="U1783" i="3"/>
  <c r="K1783" i="3"/>
  <c r="E1783" i="3"/>
  <c r="B1783" i="3"/>
  <c r="U1782" i="3"/>
  <c r="K1782" i="3"/>
  <c r="E1782" i="3"/>
  <c r="B1782" i="3"/>
  <c r="K1781" i="3"/>
  <c r="E1781" i="3"/>
  <c r="B1781" i="3"/>
  <c r="U1780" i="3"/>
  <c r="K1780" i="3"/>
  <c r="E1780" i="3"/>
  <c r="B1780" i="3"/>
  <c r="U1779" i="3"/>
  <c r="K1779" i="3"/>
  <c r="E1779" i="3"/>
  <c r="B1779" i="3"/>
  <c r="U1778" i="3"/>
  <c r="K1778" i="3"/>
  <c r="E1778" i="3"/>
  <c r="B1778" i="3"/>
  <c r="U1777" i="3"/>
  <c r="K1777" i="3"/>
  <c r="E1777" i="3"/>
  <c r="B1777" i="3"/>
  <c r="U1776" i="3"/>
  <c r="K1776" i="3"/>
  <c r="E1776" i="3"/>
  <c r="B1776" i="3"/>
  <c r="U1775" i="3"/>
  <c r="K1775" i="3"/>
  <c r="E1775" i="3"/>
  <c r="B1775" i="3"/>
  <c r="U1774" i="3"/>
  <c r="K1774" i="3"/>
  <c r="E1774" i="3"/>
  <c r="B1774" i="3"/>
  <c r="U1773" i="3"/>
  <c r="K1773" i="3"/>
  <c r="E1773" i="3"/>
  <c r="B1773" i="3"/>
  <c r="U1772" i="3"/>
  <c r="K1772" i="3"/>
  <c r="E1772" i="3"/>
  <c r="B1772" i="3"/>
  <c r="U1771" i="3"/>
  <c r="K1771" i="3"/>
  <c r="E1771" i="3"/>
  <c r="B1771" i="3"/>
  <c r="U1770" i="3"/>
  <c r="K1770" i="3"/>
  <c r="E1770" i="3"/>
  <c r="B1770" i="3"/>
  <c r="U1769" i="3"/>
  <c r="K1769" i="3"/>
  <c r="E1769" i="3"/>
  <c r="B1769" i="3"/>
  <c r="U1768" i="3"/>
  <c r="K1768" i="3"/>
  <c r="E1768" i="3"/>
  <c r="B1768" i="3"/>
  <c r="U1767" i="3"/>
  <c r="K1767" i="3"/>
  <c r="E1767" i="3"/>
  <c r="B1767" i="3"/>
  <c r="U1766" i="3"/>
  <c r="K1766" i="3"/>
  <c r="E1766" i="3"/>
  <c r="B1766" i="3"/>
  <c r="U1765" i="3"/>
  <c r="K1765" i="3"/>
  <c r="E1765" i="3"/>
  <c r="B1765" i="3"/>
  <c r="U1764" i="3"/>
  <c r="K1764" i="3"/>
  <c r="E1764" i="3"/>
  <c r="B1764" i="3"/>
  <c r="U1763" i="3"/>
  <c r="K1763" i="3"/>
  <c r="E1763" i="3"/>
  <c r="B1763" i="3"/>
  <c r="U1762" i="3"/>
  <c r="K1762" i="3"/>
  <c r="E1762" i="3"/>
  <c r="B1762" i="3"/>
  <c r="U1761" i="3"/>
  <c r="K1761" i="3"/>
  <c r="E1761" i="3"/>
  <c r="B1761" i="3"/>
  <c r="U1760" i="3"/>
  <c r="K1760" i="3"/>
  <c r="E1760" i="3"/>
  <c r="B1760" i="3"/>
  <c r="U1759" i="3"/>
  <c r="K1759" i="3"/>
  <c r="E1759" i="3"/>
  <c r="B1759" i="3"/>
  <c r="U1758" i="3"/>
  <c r="K1758" i="3"/>
  <c r="E1758" i="3"/>
  <c r="B1758" i="3"/>
  <c r="U1757" i="3"/>
  <c r="K1757" i="3"/>
  <c r="E1757" i="3"/>
  <c r="B1757" i="3"/>
  <c r="U1756" i="3"/>
  <c r="K1756" i="3"/>
  <c r="E1756" i="3"/>
  <c r="B1756" i="3"/>
  <c r="U1755" i="3"/>
  <c r="K1755" i="3"/>
  <c r="E1755" i="3"/>
  <c r="B1755" i="3"/>
  <c r="U1754" i="3"/>
  <c r="K1754" i="3"/>
  <c r="E1754" i="3"/>
  <c r="B1754" i="3"/>
  <c r="U1753" i="3"/>
  <c r="K1753" i="3"/>
  <c r="E1753" i="3"/>
  <c r="B1753" i="3"/>
  <c r="U1752" i="3"/>
  <c r="K1752" i="3"/>
  <c r="E1752" i="3"/>
  <c r="B1752" i="3"/>
  <c r="U1751" i="3"/>
  <c r="K1751" i="3"/>
  <c r="E1751" i="3"/>
  <c r="B1751" i="3"/>
  <c r="U1750" i="3"/>
  <c r="K1750" i="3"/>
  <c r="E1750" i="3"/>
  <c r="B1750" i="3"/>
  <c r="U1749" i="3"/>
  <c r="K1749" i="3"/>
  <c r="E1749" i="3"/>
  <c r="B1749" i="3"/>
  <c r="U1748" i="3"/>
  <c r="K1748" i="3"/>
  <c r="E1748" i="3"/>
  <c r="B1748" i="3"/>
  <c r="U1747" i="3"/>
  <c r="K1747" i="3"/>
  <c r="E1747" i="3"/>
  <c r="B1747" i="3"/>
  <c r="U1746" i="3"/>
  <c r="K1746" i="3"/>
  <c r="E1746" i="3"/>
  <c r="B1746" i="3"/>
  <c r="U1745" i="3"/>
  <c r="K1745" i="3"/>
  <c r="E1745" i="3"/>
  <c r="B1745" i="3"/>
  <c r="U1744" i="3"/>
  <c r="K1744" i="3"/>
  <c r="E1744" i="3"/>
  <c r="B1744" i="3"/>
  <c r="U1743" i="3"/>
  <c r="K1743" i="3"/>
  <c r="E1743" i="3"/>
  <c r="B1743" i="3"/>
  <c r="U1742" i="3"/>
  <c r="K1742" i="3"/>
  <c r="E1742" i="3"/>
  <c r="B1742" i="3"/>
  <c r="U1741" i="3"/>
  <c r="K1741" i="3"/>
  <c r="E1741" i="3"/>
  <c r="B1741" i="3"/>
  <c r="U1740" i="3"/>
  <c r="K1740" i="3"/>
  <c r="E1740" i="3"/>
  <c r="B1740" i="3"/>
  <c r="U1739" i="3"/>
  <c r="K1739" i="3"/>
  <c r="E1739" i="3"/>
  <c r="B1739" i="3"/>
  <c r="U1738" i="3"/>
  <c r="K1738" i="3"/>
  <c r="E1738" i="3"/>
  <c r="B1738" i="3"/>
  <c r="U1737" i="3"/>
  <c r="K1737" i="3"/>
  <c r="E1737" i="3"/>
  <c r="B1737" i="3"/>
  <c r="U1736" i="3"/>
  <c r="K1736" i="3"/>
  <c r="E1736" i="3"/>
  <c r="B1736" i="3"/>
  <c r="U1735" i="3"/>
  <c r="K1735" i="3"/>
  <c r="E1735" i="3"/>
  <c r="B1735" i="3"/>
  <c r="U1734" i="3"/>
  <c r="K1734" i="3"/>
  <c r="E1734" i="3"/>
  <c r="B1734" i="3"/>
  <c r="K1733" i="3"/>
  <c r="E1733" i="3"/>
  <c r="B1733" i="3"/>
  <c r="U1732" i="3"/>
  <c r="K1732" i="3"/>
  <c r="E1732" i="3"/>
  <c r="B1732" i="3"/>
  <c r="U1731" i="3"/>
  <c r="K1731" i="3"/>
  <c r="E1731" i="3"/>
  <c r="B1731" i="3"/>
  <c r="U1730" i="3"/>
  <c r="K1730" i="3"/>
  <c r="E1730" i="3"/>
  <c r="B1730" i="3"/>
  <c r="U1729" i="3"/>
  <c r="K1729" i="3"/>
  <c r="E1729" i="3"/>
  <c r="B1729" i="3"/>
  <c r="U1728" i="3"/>
  <c r="K1728" i="3"/>
  <c r="E1728" i="3"/>
  <c r="B1728" i="3"/>
  <c r="U1727" i="3"/>
  <c r="K1727" i="3"/>
  <c r="E1727" i="3"/>
  <c r="B1727" i="3"/>
  <c r="U1726" i="3"/>
  <c r="K1726" i="3"/>
  <c r="E1726" i="3"/>
  <c r="B1726" i="3"/>
  <c r="U1725" i="3"/>
  <c r="K1725" i="3"/>
  <c r="E1725" i="3"/>
  <c r="B1725" i="3"/>
  <c r="U1724" i="3"/>
  <c r="K1724" i="3"/>
  <c r="E1724" i="3"/>
  <c r="B1724" i="3"/>
  <c r="U1723" i="3"/>
  <c r="K1723" i="3"/>
  <c r="E1723" i="3"/>
  <c r="B1723" i="3"/>
  <c r="U1722" i="3"/>
  <c r="K1722" i="3"/>
  <c r="E1722" i="3"/>
  <c r="B1722" i="3"/>
  <c r="U1721" i="3"/>
  <c r="K1721" i="3"/>
  <c r="E1721" i="3"/>
  <c r="B1721" i="3"/>
  <c r="U1720" i="3"/>
  <c r="K1720" i="3"/>
  <c r="E1720" i="3"/>
  <c r="B1720" i="3"/>
  <c r="U1719" i="3"/>
  <c r="K1719" i="3"/>
  <c r="E1719" i="3"/>
  <c r="B1719" i="3"/>
  <c r="U1718" i="3"/>
  <c r="K1718" i="3"/>
  <c r="E1718" i="3"/>
  <c r="B1718" i="3"/>
  <c r="U1717" i="3"/>
  <c r="K1717" i="3"/>
  <c r="E1717" i="3"/>
  <c r="B1717" i="3"/>
  <c r="U1716" i="3"/>
  <c r="K1716" i="3"/>
  <c r="E1716" i="3"/>
  <c r="B1716" i="3"/>
  <c r="U1715" i="3"/>
  <c r="K1715" i="3"/>
  <c r="E1715" i="3"/>
  <c r="B1715" i="3"/>
  <c r="U1714" i="3"/>
  <c r="K1714" i="3"/>
  <c r="E1714" i="3"/>
  <c r="B1714" i="3"/>
  <c r="U1713" i="3"/>
  <c r="K1713" i="3"/>
  <c r="E1713" i="3"/>
  <c r="B1713" i="3"/>
  <c r="U1712" i="3"/>
  <c r="K1712" i="3"/>
  <c r="E1712" i="3"/>
  <c r="B1712" i="3"/>
  <c r="U1711" i="3"/>
  <c r="K1711" i="3"/>
  <c r="E1711" i="3"/>
  <c r="B1711" i="3"/>
  <c r="U1710" i="3"/>
  <c r="K1710" i="3"/>
  <c r="E1710" i="3"/>
  <c r="B1710" i="3"/>
  <c r="U1709" i="3"/>
  <c r="K1709" i="3"/>
  <c r="E1709" i="3"/>
  <c r="B1709" i="3"/>
  <c r="U1708" i="3"/>
  <c r="K1708" i="3"/>
  <c r="E1708" i="3"/>
  <c r="B1708" i="3"/>
  <c r="U1707" i="3"/>
  <c r="K1707" i="3"/>
  <c r="E1707" i="3"/>
  <c r="B1707" i="3"/>
  <c r="U1706" i="3"/>
  <c r="K1706" i="3"/>
  <c r="E1706" i="3"/>
  <c r="B1706" i="3"/>
  <c r="U1705" i="3"/>
  <c r="K1705" i="3"/>
  <c r="E1705" i="3"/>
  <c r="B1705" i="3"/>
  <c r="U1704" i="3"/>
  <c r="K1704" i="3"/>
  <c r="E1704" i="3"/>
  <c r="B1704" i="3"/>
  <c r="U1703" i="3"/>
  <c r="K1703" i="3"/>
  <c r="E1703" i="3"/>
  <c r="B1703" i="3"/>
  <c r="U1702" i="3"/>
  <c r="K1702" i="3"/>
  <c r="E1702" i="3"/>
  <c r="B1702" i="3"/>
  <c r="U1701" i="3"/>
  <c r="K1701" i="3"/>
  <c r="E1701" i="3"/>
  <c r="B1701" i="3"/>
  <c r="U1700" i="3"/>
  <c r="K1700" i="3"/>
  <c r="E1700" i="3"/>
  <c r="B1700" i="3"/>
  <c r="U1699" i="3"/>
  <c r="K1699" i="3"/>
  <c r="E1699" i="3"/>
  <c r="B1699" i="3"/>
  <c r="U1698" i="3"/>
  <c r="K1698" i="3"/>
  <c r="E1698" i="3"/>
  <c r="B1698" i="3"/>
  <c r="U1697" i="3"/>
  <c r="K1697" i="3"/>
  <c r="E1697" i="3"/>
  <c r="B1697" i="3"/>
  <c r="U1696" i="3"/>
  <c r="K1696" i="3"/>
  <c r="E1696" i="3"/>
  <c r="B1696" i="3"/>
  <c r="U1695" i="3"/>
  <c r="K1695" i="3"/>
  <c r="E1695" i="3"/>
  <c r="B1695" i="3"/>
  <c r="U1694" i="3"/>
  <c r="K1694" i="3"/>
  <c r="E1694" i="3"/>
  <c r="B1694" i="3"/>
  <c r="U1693" i="3"/>
  <c r="K1693" i="3"/>
  <c r="E1693" i="3"/>
  <c r="B1693" i="3"/>
  <c r="U1692" i="3"/>
  <c r="K1692" i="3"/>
  <c r="E1692" i="3"/>
  <c r="B1692" i="3"/>
  <c r="U1691" i="3"/>
  <c r="K1691" i="3"/>
  <c r="E1691" i="3"/>
  <c r="B1691" i="3"/>
  <c r="U1690" i="3"/>
  <c r="K1690" i="3"/>
  <c r="E1690" i="3"/>
  <c r="B1690" i="3"/>
  <c r="U1689" i="3"/>
  <c r="K1689" i="3"/>
  <c r="E1689" i="3"/>
  <c r="B1689" i="3"/>
  <c r="U1688" i="3"/>
  <c r="K1688" i="3"/>
  <c r="E1688" i="3"/>
  <c r="B1688" i="3"/>
  <c r="U1687" i="3"/>
  <c r="K1687" i="3"/>
  <c r="E1687" i="3"/>
  <c r="B1687" i="3"/>
  <c r="U1686" i="3"/>
  <c r="K1686" i="3"/>
  <c r="E1686" i="3"/>
  <c r="B1686" i="3"/>
  <c r="U1685" i="3"/>
  <c r="K1685" i="3"/>
  <c r="E1685" i="3"/>
  <c r="B1685" i="3"/>
  <c r="U1684" i="3"/>
  <c r="K1684" i="3"/>
  <c r="E1684" i="3"/>
  <c r="B1684" i="3"/>
  <c r="U1683" i="3"/>
  <c r="K1683" i="3"/>
  <c r="E1683" i="3"/>
  <c r="B1683" i="3"/>
  <c r="U1682" i="3"/>
  <c r="K1682" i="3"/>
  <c r="E1682" i="3"/>
  <c r="B1682" i="3"/>
  <c r="U1681" i="3"/>
  <c r="K1681" i="3"/>
  <c r="E1681" i="3"/>
  <c r="B1681" i="3"/>
  <c r="U1680" i="3"/>
  <c r="K1680" i="3"/>
  <c r="E1680" i="3"/>
  <c r="B1680" i="3"/>
  <c r="U1679" i="3"/>
  <c r="K1679" i="3"/>
  <c r="E1679" i="3"/>
  <c r="B1679" i="3"/>
  <c r="U1678" i="3"/>
  <c r="K1678" i="3"/>
  <c r="E1678" i="3"/>
  <c r="B1678" i="3"/>
  <c r="U1677" i="3"/>
  <c r="K1677" i="3"/>
  <c r="E1677" i="3"/>
  <c r="B1677" i="3"/>
  <c r="U1676" i="3"/>
  <c r="K1676" i="3"/>
  <c r="E1676" i="3"/>
  <c r="B1676" i="3"/>
  <c r="U1675" i="3"/>
  <c r="K1675" i="3"/>
  <c r="E1675" i="3"/>
  <c r="B1675" i="3"/>
  <c r="U1674" i="3"/>
  <c r="K1674" i="3"/>
  <c r="E1674" i="3"/>
  <c r="B1674" i="3"/>
  <c r="U1673" i="3"/>
  <c r="K1673" i="3"/>
  <c r="E1673" i="3"/>
  <c r="B1673" i="3"/>
  <c r="U1672" i="3"/>
  <c r="K1672" i="3"/>
  <c r="E1672" i="3"/>
  <c r="B1672" i="3"/>
  <c r="U1671" i="3"/>
  <c r="K1671" i="3"/>
  <c r="E1671" i="3"/>
  <c r="B1671" i="3"/>
  <c r="U1670" i="3"/>
  <c r="K1670" i="3"/>
  <c r="E1670" i="3"/>
  <c r="B1670" i="3"/>
  <c r="U1669" i="3"/>
  <c r="K1669" i="3"/>
  <c r="E1669" i="3"/>
  <c r="B1669" i="3"/>
  <c r="U1668" i="3"/>
  <c r="K1668" i="3"/>
  <c r="E1668" i="3"/>
  <c r="B1668" i="3"/>
  <c r="U1667" i="3"/>
  <c r="K1667" i="3"/>
  <c r="E1667" i="3"/>
  <c r="B1667" i="3"/>
  <c r="U1666" i="3"/>
  <c r="K1666" i="3"/>
  <c r="E1666" i="3"/>
  <c r="B1666" i="3"/>
  <c r="U1665" i="3"/>
  <c r="K1665" i="3"/>
  <c r="E1665" i="3"/>
  <c r="B1665" i="3"/>
  <c r="U1664" i="3"/>
  <c r="K1664" i="3"/>
  <c r="E1664" i="3"/>
  <c r="B1664" i="3"/>
  <c r="U1663" i="3"/>
  <c r="K1663" i="3"/>
  <c r="E1663" i="3"/>
  <c r="B1663" i="3"/>
  <c r="U1662" i="3"/>
  <c r="K1662" i="3"/>
  <c r="E1662" i="3"/>
  <c r="B1662" i="3"/>
  <c r="U1661" i="3"/>
  <c r="K1661" i="3"/>
  <c r="E1661" i="3"/>
  <c r="B1661" i="3"/>
  <c r="U1660" i="3"/>
  <c r="K1660" i="3"/>
  <c r="E1660" i="3"/>
  <c r="B1660" i="3"/>
  <c r="U1659" i="3"/>
  <c r="K1659" i="3"/>
  <c r="E1659" i="3"/>
  <c r="B1659" i="3"/>
  <c r="U1658" i="3"/>
  <c r="K1658" i="3"/>
  <c r="E1658" i="3"/>
  <c r="B1658" i="3"/>
  <c r="U1657" i="3"/>
  <c r="K1657" i="3"/>
  <c r="E1657" i="3"/>
  <c r="B1657" i="3"/>
  <c r="U1656" i="3"/>
  <c r="K1656" i="3"/>
  <c r="E1656" i="3"/>
  <c r="B1656" i="3"/>
  <c r="U1655" i="3"/>
  <c r="K1655" i="3"/>
  <c r="E1655" i="3"/>
  <c r="B1655" i="3"/>
  <c r="U1654" i="3"/>
  <c r="K1654" i="3"/>
  <c r="E1654" i="3"/>
  <c r="B1654" i="3"/>
  <c r="U1653" i="3"/>
  <c r="K1653" i="3"/>
  <c r="E1653" i="3"/>
  <c r="B1653" i="3"/>
  <c r="U1652" i="3"/>
  <c r="K1652" i="3"/>
  <c r="E1652" i="3"/>
  <c r="B1652" i="3"/>
  <c r="U1651" i="3"/>
  <c r="K1651" i="3"/>
  <c r="E1651" i="3"/>
  <c r="B1651" i="3"/>
  <c r="U1650" i="3"/>
  <c r="K1650" i="3"/>
  <c r="E1650" i="3"/>
  <c r="B1650" i="3"/>
  <c r="U1649" i="3"/>
  <c r="K1649" i="3"/>
  <c r="E1649" i="3"/>
  <c r="B1649" i="3"/>
  <c r="U1648" i="3"/>
  <c r="K1648" i="3"/>
  <c r="E1648" i="3"/>
  <c r="B1648" i="3"/>
  <c r="U1647" i="3"/>
  <c r="K1647" i="3"/>
  <c r="E1647" i="3"/>
  <c r="B1647" i="3"/>
  <c r="U1646" i="3"/>
  <c r="K1646" i="3"/>
  <c r="E1646" i="3"/>
  <c r="B1646" i="3"/>
  <c r="U1645" i="3"/>
  <c r="K1645" i="3"/>
  <c r="E1645" i="3"/>
  <c r="B1645" i="3"/>
  <c r="U1644" i="3"/>
  <c r="K1644" i="3"/>
  <c r="E1644" i="3"/>
  <c r="B1644" i="3"/>
  <c r="U1643" i="3"/>
  <c r="K1643" i="3"/>
  <c r="E1643" i="3"/>
  <c r="B1643" i="3"/>
  <c r="U1642" i="3"/>
  <c r="K1642" i="3"/>
  <c r="E1642" i="3"/>
  <c r="B1642" i="3"/>
  <c r="U1641" i="3"/>
  <c r="K1641" i="3"/>
  <c r="E1641" i="3"/>
  <c r="B1641" i="3"/>
  <c r="U1640" i="3"/>
  <c r="K1640" i="3"/>
  <c r="E1640" i="3"/>
  <c r="B1640" i="3"/>
  <c r="U1639" i="3"/>
  <c r="K1639" i="3"/>
  <c r="E1639" i="3"/>
  <c r="B1639" i="3"/>
  <c r="U1638" i="3"/>
  <c r="K1638" i="3"/>
  <c r="E1638" i="3"/>
  <c r="B1638" i="3"/>
  <c r="U1637" i="3"/>
  <c r="K1637" i="3"/>
  <c r="E1637" i="3"/>
  <c r="B1637" i="3"/>
  <c r="U1636" i="3"/>
  <c r="K1636" i="3"/>
  <c r="E1636" i="3"/>
  <c r="B1636" i="3"/>
  <c r="U1635" i="3"/>
  <c r="K1635" i="3"/>
  <c r="E1635" i="3"/>
  <c r="B1635" i="3"/>
  <c r="U1634" i="3"/>
  <c r="K1634" i="3"/>
  <c r="E1634" i="3"/>
  <c r="B1634" i="3"/>
  <c r="U1633" i="3"/>
  <c r="K1633" i="3"/>
  <c r="E1633" i="3"/>
  <c r="B1633" i="3"/>
  <c r="U1632" i="3"/>
  <c r="K1632" i="3"/>
  <c r="E1632" i="3"/>
  <c r="B1632" i="3"/>
  <c r="U1631" i="3"/>
  <c r="K1631" i="3"/>
  <c r="E1631" i="3"/>
  <c r="B1631" i="3"/>
  <c r="U1630" i="3"/>
  <c r="K1630" i="3"/>
  <c r="E1630" i="3"/>
  <c r="B1630" i="3"/>
  <c r="U1629" i="3"/>
  <c r="K1629" i="3"/>
  <c r="E1629" i="3"/>
  <c r="B1629" i="3"/>
  <c r="U1628" i="3"/>
  <c r="K1628" i="3"/>
  <c r="E1628" i="3"/>
  <c r="B1628" i="3"/>
  <c r="U1627" i="3"/>
  <c r="K1627" i="3"/>
  <c r="E1627" i="3"/>
  <c r="B1627" i="3"/>
  <c r="U1626" i="3"/>
  <c r="K1626" i="3"/>
  <c r="E1626" i="3"/>
  <c r="B1626" i="3"/>
  <c r="U1625" i="3"/>
  <c r="K1625" i="3"/>
  <c r="E1625" i="3"/>
  <c r="B1625" i="3"/>
  <c r="U1624" i="3"/>
  <c r="K1624" i="3"/>
  <c r="E1624" i="3"/>
  <c r="B1624" i="3"/>
  <c r="U1623" i="3"/>
  <c r="K1623" i="3"/>
  <c r="E1623" i="3"/>
  <c r="B1623" i="3"/>
  <c r="U1622" i="3"/>
  <c r="K1622" i="3"/>
  <c r="E1622" i="3"/>
  <c r="B1622" i="3"/>
  <c r="U1621" i="3"/>
  <c r="K1621" i="3"/>
  <c r="E1621" i="3"/>
  <c r="B1621" i="3"/>
  <c r="U1620" i="3"/>
  <c r="K1620" i="3"/>
  <c r="E1620" i="3"/>
  <c r="B1620" i="3"/>
  <c r="U1619" i="3"/>
  <c r="K1619" i="3"/>
  <c r="E1619" i="3"/>
  <c r="B1619" i="3"/>
  <c r="U1618" i="3"/>
  <c r="K1618" i="3"/>
  <c r="E1618" i="3"/>
  <c r="B1618" i="3"/>
  <c r="U1617" i="3"/>
  <c r="K1617" i="3"/>
  <c r="E1617" i="3"/>
  <c r="B1617" i="3"/>
  <c r="U1616" i="3"/>
  <c r="K1616" i="3"/>
  <c r="E1616" i="3"/>
  <c r="B1616" i="3"/>
  <c r="U1615" i="3"/>
  <c r="K1615" i="3"/>
  <c r="E1615" i="3"/>
  <c r="B1615" i="3"/>
  <c r="U1614" i="3"/>
  <c r="K1614" i="3"/>
  <c r="E1614" i="3"/>
  <c r="B1614" i="3"/>
  <c r="U1613" i="3"/>
  <c r="K1613" i="3"/>
  <c r="E1613" i="3"/>
  <c r="B1613" i="3"/>
  <c r="U1612" i="3"/>
  <c r="K1612" i="3"/>
  <c r="E1612" i="3"/>
  <c r="B1612" i="3"/>
  <c r="U1611" i="3"/>
  <c r="K1611" i="3"/>
  <c r="E1611" i="3"/>
  <c r="B1611" i="3"/>
  <c r="U1610" i="3"/>
  <c r="K1610" i="3"/>
  <c r="E1610" i="3"/>
  <c r="B1610" i="3"/>
  <c r="U1609" i="3"/>
  <c r="K1609" i="3"/>
  <c r="E1609" i="3"/>
  <c r="B1609" i="3"/>
  <c r="U1608" i="3"/>
  <c r="K1608" i="3"/>
  <c r="E1608" i="3"/>
  <c r="B1608" i="3"/>
  <c r="U1607" i="3"/>
  <c r="K1607" i="3"/>
  <c r="E1607" i="3"/>
  <c r="B1607" i="3"/>
  <c r="U1606" i="3"/>
  <c r="K1606" i="3"/>
  <c r="E1606" i="3"/>
  <c r="B1606" i="3"/>
  <c r="U1605" i="3"/>
  <c r="K1605" i="3"/>
  <c r="E1605" i="3"/>
  <c r="B1605" i="3"/>
  <c r="U1604" i="3"/>
  <c r="K1604" i="3"/>
  <c r="E1604" i="3"/>
  <c r="B1604" i="3"/>
  <c r="U1603" i="3"/>
  <c r="K1603" i="3"/>
  <c r="E1603" i="3"/>
  <c r="B1603" i="3"/>
  <c r="U1602" i="3"/>
  <c r="K1602" i="3"/>
  <c r="E1602" i="3"/>
  <c r="B1602" i="3"/>
  <c r="U1601" i="3"/>
  <c r="K1601" i="3"/>
  <c r="E1601" i="3"/>
  <c r="B1601" i="3"/>
  <c r="U1600" i="3"/>
  <c r="K1600" i="3"/>
  <c r="E1600" i="3"/>
  <c r="B1600" i="3"/>
  <c r="U1599" i="3"/>
  <c r="K1599" i="3"/>
  <c r="E1599" i="3"/>
  <c r="B1599" i="3"/>
  <c r="U1598" i="3"/>
  <c r="K1598" i="3"/>
  <c r="E1598" i="3"/>
  <c r="B1598" i="3"/>
  <c r="U1597" i="3"/>
  <c r="K1597" i="3"/>
  <c r="E1597" i="3"/>
  <c r="B1597" i="3"/>
  <c r="U1596" i="3"/>
  <c r="K1596" i="3"/>
  <c r="E1596" i="3"/>
  <c r="B1596" i="3"/>
  <c r="U1595" i="3"/>
  <c r="K1595" i="3"/>
  <c r="E1595" i="3"/>
  <c r="B1595" i="3"/>
  <c r="U1594" i="3"/>
  <c r="K1594" i="3"/>
  <c r="E1594" i="3"/>
  <c r="B1594" i="3"/>
  <c r="U1593" i="3"/>
  <c r="K1593" i="3"/>
  <c r="E1593" i="3"/>
  <c r="B1593" i="3"/>
  <c r="U1592" i="3"/>
  <c r="K1592" i="3"/>
  <c r="E1592" i="3"/>
  <c r="B1592" i="3"/>
  <c r="U1591" i="3"/>
  <c r="K1591" i="3"/>
  <c r="E1591" i="3"/>
  <c r="B1591" i="3"/>
  <c r="U1590" i="3"/>
  <c r="K1590" i="3"/>
  <c r="E1590" i="3"/>
  <c r="B1590" i="3"/>
  <c r="U1589" i="3"/>
  <c r="K1589" i="3"/>
  <c r="E1589" i="3"/>
  <c r="B1589" i="3"/>
  <c r="U1588" i="3"/>
  <c r="K1588" i="3"/>
  <c r="E1588" i="3"/>
  <c r="B1588" i="3"/>
  <c r="U1587" i="3"/>
  <c r="K1587" i="3"/>
  <c r="E1587" i="3"/>
  <c r="B1587" i="3"/>
  <c r="U1586" i="3"/>
  <c r="K1586" i="3"/>
  <c r="E1586" i="3"/>
  <c r="B1586" i="3"/>
  <c r="U1585" i="3"/>
  <c r="K1585" i="3"/>
  <c r="E1585" i="3"/>
  <c r="B1585" i="3"/>
  <c r="U1584" i="3"/>
  <c r="K1584" i="3"/>
  <c r="E1584" i="3"/>
  <c r="B1584" i="3"/>
  <c r="U1583" i="3"/>
  <c r="K1583" i="3"/>
  <c r="E1583" i="3"/>
  <c r="B1583" i="3"/>
  <c r="U1582" i="3"/>
  <c r="K1582" i="3"/>
  <c r="E1582" i="3"/>
  <c r="B1582" i="3"/>
  <c r="U1581" i="3"/>
  <c r="K1581" i="3"/>
  <c r="E1581" i="3"/>
  <c r="B1581" i="3"/>
  <c r="U1580" i="3"/>
  <c r="K1580" i="3"/>
  <c r="E1580" i="3"/>
  <c r="B1580" i="3"/>
  <c r="U1579" i="3"/>
  <c r="K1579" i="3"/>
  <c r="E1579" i="3"/>
  <c r="B1579" i="3"/>
  <c r="U1578" i="3"/>
  <c r="K1578" i="3"/>
  <c r="E1578" i="3"/>
  <c r="B1578" i="3"/>
  <c r="U1577" i="3"/>
  <c r="K1577" i="3"/>
  <c r="E1577" i="3"/>
  <c r="B1577" i="3"/>
  <c r="U1576" i="3"/>
  <c r="K1576" i="3"/>
  <c r="E1576" i="3"/>
  <c r="B1576" i="3"/>
  <c r="U1575" i="3"/>
  <c r="K1575" i="3"/>
  <c r="E1575" i="3"/>
  <c r="B1575" i="3"/>
  <c r="U1574" i="3"/>
  <c r="K1574" i="3"/>
  <c r="E1574" i="3"/>
  <c r="B1574" i="3"/>
  <c r="U1573" i="3"/>
  <c r="K1573" i="3"/>
  <c r="E1573" i="3"/>
  <c r="B1573" i="3"/>
  <c r="U1572" i="3"/>
  <c r="K1572" i="3"/>
  <c r="E1572" i="3"/>
  <c r="B1572" i="3"/>
  <c r="U1571" i="3"/>
  <c r="K1571" i="3"/>
  <c r="E1571" i="3"/>
  <c r="B1571" i="3"/>
  <c r="U1570" i="3"/>
  <c r="K1570" i="3"/>
  <c r="E1570" i="3"/>
  <c r="B1570" i="3"/>
  <c r="U1569" i="3"/>
  <c r="K1569" i="3"/>
  <c r="E1569" i="3"/>
  <c r="B1569" i="3"/>
  <c r="U1568" i="3"/>
  <c r="K1568" i="3"/>
  <c r="E1568" i="3"/>
  <c r="B1568" i="3"/>
  <c r="U1567" i="3"/>
  <c r="K1567" i="3"/>
  <c r="E1567" i="3"/>
  <c r="B1567" i="3"/>
  <c r="U1566" i="3"/>
  <c r="K1566" i="3"/>
  <c r="E1566" i="3"/>
  <c r="B1566" i="3"/>
  <c r="U1565" i="3"/>
  <c r="K1565" i="3"/>
  <c r="E1565" i="3"/>
  <c r="B1565" i="3"/>
  <c r="U1564" i="3"/>
  <c r="K1564" i="3"/>
  <c r="E1564" i="3"/>
  <c r="B1564" i="3"/>
  <c r="U1563" i="3"/>
  <c r="K1563" i="3"/>
  <c r="E1563" i="3"/>
  <c r="B1563" i="3"/>
  <c r="U1562" i="3"/>
  <c r="K1562" i="3"/>
  <c r="E1562" i="3"/>
  <c r="B1562" i="3"/>
  <c r="U1561" i="3"/>
  <c r="K1561" i="3"/>
  <c r="E1561" i="3"/>
  <c r="B1561" i="3"/>
  <c r="U1560" i="3"/>
  <c r="K1560" i="3"/>
  <c r="E1560" i="3"/>
  <c r="B1560" i="3"/>
  <c r="U1559" i="3"/>
  <c r="K1559" i="3"/>
  <c r="E1559" i="3"/>
  <c r="B1559" i="3"/>
  <c r="U1558" i="3"/>
  <c r="K1558" i="3"/>
  <c r="E1558" i="3"/>
  <c r="B1558" i="3"/>
  <c r="U1557" i="3"/>
  <c r="K1557" i="3"/>
  <c r="E1557" i="3"/>
  <c r="B1557" i="3"/>
  <c r="U1556" i="3"/>
  <c r="K1556" i="3"/>
  <c r="E1556" i="3"/>
  <c r="B1556" i="3"/>
  <c r="U1555" i="3"/>
  <c r="K1555" i="3"/>
  <c r="E1555" i="3"/>
  <c r="B1555" i="3"/>
  <c r="U1554" i="3"/>
  <c r="K1554" i="3"/>
  <c r="E1554" i="3"/>
  <c r="B1554" i="3"/>
  <c r="U1553" i="3"/>
  <c r="K1553" i="3"/>
  <c r="E1553" i="3"/>
  <c r="B1553" i="3"/>
  <c r="U1552" i="3"/>
  <c r="K1552" i="3"/>
  <c r="E1552" i="3"/>
  <c r="B1552" i="3"/>
  <c r="U1551" i="3"/>
  <c r="K1551" i="3"/>
  <c r="E1551" i="3"/>
  <c r="B1551" i="3"/>
  <c r="U1550" i="3"/>
  <c r="K1550" i="3"/>
  <c r="E1550" i="3"/>
  <c r="B1550" i="3"/>
  <c r="U1549" i="3"/>
  <c r="K1549" i="3"/>
  <c r="E1549" i="3"/>
  <c r="B1549" i="3"/>
  <c r="U1548" i="3"/>
  <c r="K1548" i="3"/>
  <c r="E1548" i="3"/>
  <c r="B1548" i="3"/>
  <c r="U1547" i="3"/>
  <c r="K1547" i="3"/>
  <c r="E1547" i="3"/>
  <c r="B1547" i="3"/>
  <c r="U1546" i="3"/>
  <c r="K1546" i="3"/>
  <c r="E1546" i="3"/>
  <c r="B1546" i="3"/>
  <c r="U1545" i="3"/>
  <c r="K1545" i="3"/>
  <c r="E1545" i="3"/>
  <c r="B1545" i="3"/>
  <c r="U1544" i="3"/>
  <c r="K1544" i="3"/>
  <c r="E1544" i="3"/>
  <c r="B1544" i="3"/>
  <c r="U1543" i="3"/>
  <c r="K1543" i="3"/>
  <c r="E1543" i="3"/>
  <c r="B1543" i="3"/>
  <c r="U1542" i="3"/>
  <c r="K1542" i="3"/>
  <c r="E1542" i="3"/>
  <c r="B1542" i="3"/>
  <c r="U1541" i="3"/>
  <c r="K1541" i="3"/>
  <c r="E1541" i="3"/>
  <c r="B1541" i="3"/>
  <c r="U1540" i="3"/>
  <c r="K1540" i="3"/>
  <c r="E1540" i="3"/>
  <c r="B1540" i="3"/>
  <c r="U1539" i="3"/>
  <c r="K1539" i="3"/>
  <c r="E1539" i="3"/>
  <c r="B1539" i="3"/>
  <c r="U1538" i="3"/>
  <c r="K1538" i="3"/>
  <c r="E1538" i="3"/>
  <c r="B1538" i="3"/>
  <c r="U1537" i="3"/>
  <c r="K1537" i="3"/>
  <c r="E1537" i="3"/>
  <c r="B1537" i="3"/>
  <c r="U1536" i="3"/>
  <c r="K1536" i="3"/>
  <c r="E1536" i="3"/>
  <c r="B1536" i="3"/>
  <c r="U1535" i="3"/>
  <c r="K1535" i="3"/>
  <c r="E1535" i="3"/>
  <c r="B1535" i="3"/>
  <c r="U1534" i="3"/>
  <c r="K1534" i="3"/>
  <c r="E1534" i="3"/>
  <c r="B1534" i="3"/>
  <c r="U1533" i="3"/>
  <c r="K1533" i="3"/>
  <c r="E1533" i="3"/>
  <c r="B1533" i="3"/>
  <c r="U1532" i="3"/>
  <c r="K1532" i="3"/>
  <c r="E1532" i="3"/>
  <c r="B1532" i="3"/>
  <c r="U1531" i="3"/>
  <c r="K1531" i="3"/>
  <c r="E1531" i="3"/>
  <c r="B1531" i="3"/>
  <c r="U1530" i="3"/>
  <c r="K1530" i="3"/>
  <c r="E1530" i="3"/>
  <c r="B1530" i="3"/>
  <c r="U1529" i="3"/>
  <c r="K1529" i="3"/>
  <c r="E1529" i="3"/>
  <c r="B1529" i="3"/>
  <c r="U1528" i="3"/>
  <c r="K1528" i="3"/>
  <c r="E1528" i="3"/>
  <c r="B1528" i="3"/>
  <c r="U1527" i="3"/>
  <c r="K1527" i="3"/>
  <c r="E1527" i="3"/>
  <c r="B1527" i="3"/>
  <c r="U1526" i="3"/>
  <c r="K1526" i="3"/>
  <c r="E1526" i="3"/>
  <c r="B1526" i="3"/>
  <c r="U1525" i="3"/>
  <c r="K1525" i="3"/>
  <c r="E1525" i="3"/>
  <c r="B1525" i="3"/>
  <c r="U1524" i="3"/>
  <c r="K1524" i="3"/>
  <c r="E1524" i="3"/>
  <c r="B1524" i="3"/>
  <c r="U1523" i="3"/>
  <c r="K1523" i="3"/>
  <c r="E1523" i="3"/>
  <c r="B1523" i="3"/>
  <c r="U1522" i="3"/>
  <c r="K1522" i="3"/>
  <c r="E1522" i="3"/>
  <c r="B1522" i="3"/>
  <c r="U1521" i="3"/>
  <c r="K1521" i="3"/>
  <c r="E1521" i="3"/>
  <c r="B1521" i="3"/>
  <c r="U1520" i="3"/>
  <c r="K1520" i="3"/>
  <c r="E1520" i="3"/>
  <c r="B1520" i="3"/>
  <c r="U1519" i="3"/>
  <c r="K1519" i="3"/>
  <c r="E1519" i="3"/>
  <c r="B1519" i="3"/>
  <c r="U1518" i="3"/>
  <c r="K1518" i="3"/>
  <c r="E1518" i="3"/>
  <c r="B1518" i="3"/>
  <c r="U1517" i="3"/>
  <c r="K1517" i="3"/>
  <c r="E1517" i="3"/>
  <c r="B1517" i="3"/>
  <c r="U1516" i="3"/>
  <c r="K1516" i="3"/>
  <c r="E1516" i="3"/>
  <c r="B1516" i="3"/>
  <c r="U1515" i="3"/>
  <c r="K1515" i="3"/>
  <c r="E1515" i="3"/>
  <c r="B1515" i="3"/>
  <c r="U1514" i="3"/>
  <c r="K1514" i="3"/>
  <c r="E1514" i="3"/>
  <c r="B1514" i="3"/>
  <c r="U1513" i="3"/>
  <c r="K1513" i="3"/>
  <c r="E1513" i="3"/>
  <c r="B1513" i="3"/>
  <c r="U1512" i="3"/>
  <c r="K1512" i="3"/>
  <c r="E1512" i="3"/>
  <c r="B1512" i="3"/>
  <c r="U1511" i="3"/>
  <c r="K1511" i="3"/>
  <c r="E1511" i="3"/>
  <c r="B1511" i="3"/>
  <c r="U1510" i="3"/>
  <c r="K1510" i="3"/>
  <c r="E1510" i="3"/>
  <c r="B1510" i="3"/>
  <c r="U1509" i="3"/>
  <c r="K1509" i="3"/>
  <c r="E1509" i="3"/>
  <c r="B1509" i="3"/>
  <c r="U1508" i="3"/>
  <c r="K1508" i="3"/>
  <c r="E1508" i="3"/>
  <c r="B1508" i="3"/>
  <c r="U1507" i="3"/>
  <c r="K1507" i="3"/>
  <c r="E1507" i="3"/>
  <c r="B1507" i="3"/>
  <c r="U1506" i="3"/>
  <c r="K1506" i="3"/>
  <c r="E1506" i="3"/>
  <c r="B1506" i="3"/>
  <c r="U1505" i="3"/>
  <c r="K1505" i="3"/>
  <c r="E1505" i="3"/>
  <c r="B1505" i="3"/>
  <c r="U1504" i="3"/>
  <c r="K1504" i="3"/>
  <c r="E1504" i="3"/>
  <c r="B1504" i="3"/>
  <c r="U1503" i="3"/>
  <c r="K1503" i="3"/>
  <c r="E1503" i="3"/>
  <c r="B1503" i="3"/>
  <c r="U1502" i="3"/>
  <c r="K1502" i="3"/>
  <c r="E1502" i="3"/>
  <c r="B1502" i="3"/>
  <c r="U1501" i="3"/>
  <c r="K1501" i="3"/>
  <c r="E1501" i="3"/>
  <c r="B1501" i="3"/>
  <c r="U1500" i="3"/>
  <c r="K1500" i="3"/>
  <c r="E1500" i="3"/>
  <c r="B1500" i="3"/>
  <c r="U1499" i="3"/>
  <c r="K1499" i="3"/>
  <c r="E1499" i="3"/>
  <c r="B1499" i="3"/>
  <c r="U1498" i="3"/>
  <c r="K1498" i="3"/>
  <c r="E1498" i="3"/>
  <c r="B1498" i="3"/>
  <c r="U1497" i="3"/>
  <c r="K1497" i="3"/>
  <c r="E1497" i="3"/>
  <c r="B1497" i="3"/>
  <c r="U1496" i="3"/>
  <c r="K1496" i="3"/>
  <c r="E1496" i="3"/>
  <c r="B1496" i="3"/>
  <c r="U1495" i="3"/>
  <c r="K1495" i="3"/>
  <c r="E1495" i="3"/>
  <c r="B1495" i="3"/>
  <c r="U1494" i="3"/>
  <c r="K1494" i="3"/>
  <c r="E1494" i="3"/>
  <c r="B1494" i="3"/>
  <c r="U1493" i="3"/>
  <c r="K1493" i="3"/>
  <c r="E1493" i="3"/>
  <c r="B1493" i="3"/>
  <c r="U1492" i="3"/>
  <c r="K1492" i="3"/>
  <c r="E1492" i="3"/>
  <c r="B1492" i="3"/>
  <c r="U1491" i="3"/>
  <c r="K1491" i="3"/>
  <c r="E1491" i="3"/>
  <c r="B1491" i="3"/>
  <c r="U1490" i="3"/>
  <c r="K1490" i="3"/>
  <c r="E1490" i="3"/>
  <c r="B1490" i="3"/>
  <c r="U1489" i="3"/>
  <c r="K1489" i="3"/>
  <c r="E1489" i="3"/>
  <c r="B1489" i="3"/>
  <c r="U1488" i="3"/>
  <c r="K1488" i="3"/>
  <c r="E1488" i="3"/>
  <c r="B1488" i="3"/>
  <c r="U1487" i="3"/>
  <c r="K1487" i="3"/>
  <c r="E1487" i="3"/>
  <c r="B1487" i="3"/>
  <c r="K1486" i="3"/>
  <c r="E1486" i="3"/>
  <c r="B1486" i="3"/>
  <c r="U1485" i="3"/>
  <c r="K1485" i="3"/>
  <c r="E1485" i="3"/>
  <c r="B1485" i="3"/>
  <c r="U1484" i="3"/>
  <c r="K1484" i="3"/>
  <c r="E1484" i="3"/>
  <c r="B1484" i="3"/>
  <c r="U1483" i="3"/>
  <c r="K1483" i="3"/>
  <c r="E1483" i="3"/>
  <c r="B1483" i="3"/>
  <c r="U1482" i="3"/>
  <c r="K1482" i="3"/>
  <c r="E1482" i="3"/>
  <c r="B1482" i="3"/>
  <c r="U1481" i="3"/>
  <c r="K1481" i="3"/>
  <c r="E1481" i="3"/>
  <c r="B1481" i="3"/>
  <c r="U1480" i="3"/>
  <c r="K1480" i="3"/>
  <c r="E1480" i="3"/>
  <c r="B1480" i="3"/>
  <c r="U1479" i="3"/>
  <c r="K1479" i="3"/>
  <c r="E1479" i="3"/>
  <c r="B1479" i="3"/>
  <c r="U1478" i="3"/>
  <c r="K1478" i="3"/>
  <c r="E1478" i="3"/>
  <c r="B1478" i="3"/>
  <c r="U1477" i="3"/>
  <c r="K1477" i="3"/>
  <c r="E1477" i="3"/>
  <c r="B1477" i="3"/>
  <c r="U1476" i="3"/>
  <c r="K1476" i="3"/>
  <c r="E1476" i="3"/>
  <c r="B1476" i="3"/>
  <c r="U1475" i="3"/>
  <c r="K1475" i="3"/>
  <c r="E1475" i="3"/>
  <c r="B1475" i="3"/>
  <c r="U1474" i="3"/>
  <c r="K1474" i="3"/>
  <c r="E1474" i="3"/>
  <c r="B1474" i="3"/>
  <c r="U1473" i="3"/>
  <c r="K1473" i="3"/>
  <c r="E1473" i="3"/>
  <c r="B1473" i="3"/>
  <c r="U1472" i="3"/>
  <c r="K1472" i="3"/>
  <c r="E1472" i="3"/>
  <c r="B1472" i="3"/>
  <c r="U1471" i="3"/>
  <c r="K1471" i="3"/>
  <c r="E1471" i="3"/>
  <c r="B1471" i="3"/>
  <c r="U1470" i="3"/>
  <c r="K1470" i="3"/>
  <c r="E1470" i="3"/>
  <c r="B1470" i="3"/>
  <c r="U1469" i="3"/>
  <c r="K1469" i="3"/>
  <c r="E1469" i="3"/>
  <c r="B1469" i="3"/>
  <c r="U1468" i="3"/>
  <c r="K1468" i="3"/>
  <c r="E1468" i="3"/>
  <c r="B1468" i="3"/>
  <c r="U1467" i="3"/>
  <c r="K1467" i="3"/>
  <c r="E1467" i="3"/>
  <c r="B1467" i="3"/>
  <c r="U1466" i="3"/>
  <c r="K1466" i="3"/>
  <c r="E1466" i="3"/>
  <c r="B1466" i="3"/>
  <c r="U1465" i="3"/>
  <c r="K1465" i="3"/>
  <c r="E1465" i="3"/>
  <c r="B1465" i="3"/>
  <c r="U1464" i="3"/>
  <c r="K1464" i="3"/>
  <c r="E1464" i="3"/>
  <c r="B1464" i="3"/>
  <c r="U1463" i="3"/>
  <c r="K1463" i="3"/>
  <c r="E1463" i="3"/>
  <c r="B1463" i="3"/>
  <c r="U1462" i="3"/>
  <c r="K1462" i="3"/>
  <c r="E1462" i="3"/>
  <c r="B1462" i="3"/>
  <c r="U1461" i="3"/>
  <c r="K1461" i="3"/>
  <c r="E1461" i="3"/>
  <c r="B1461" i="3"/>
  <c r="U1460" i="3"/>
  <c r="K1460" i="3"/>
  <c r="E1460" i="3"/>
  <c r="B1460" i="3"/>
  <c r="U1459" i="3"/>
  <c r="K1459" i="3"/>
  <c r="E1459" i="3"/>
  <c r="B1459" i="3"/>
  <c r="U1458" i="3"/>
  <c r="K1458" i="3"/>
  <c r="E1458" i="3"/>
  <c r="B1458" i="3"/>
  <c r="U1457" i="3"/>
  <c r="K1457" i="3"/>
  <c r="E1457" i="3"/>
  <c r="B1457" i="3"/>
  <c r="U1456" i="3"/>
  <c r="K1456" i="3"/>
  <c r="E1456" i="3"/>
  <c r="B1456" i="3"/>
  <c r="U1455" i="3"/>
  <c r="K1455" i="3"/>
  <c r="E1455" i="3"/>
  <c r="B1455" i="3"/>
  <c r="U1454" i="3"/>
  <c r="K1454" i="3"/>
  <c r="E1454" i="3"/>
  <c r="B1454" i="3"/>
  <c r="U1453" i="3"/>
  <c r="K1453" i="3"/>
  <c r="E1453" i="3"/>
  <c r="B1453" i="3"/>
  <c r="U1452" i="3"/>
  <c r="K1452" i="3"/>
  <c r="E1452" i="3"/>
  <c r="B1452" i="3"/>
  <c r="U1451" i="3"/>
  <c r="K1451" i="3"/>
  <c r="E1451" i="3"/>
  <c r="B1451" i="3"/>
  <c r="U1450" i="3"/>
  <c r="K1450" i="3"/>
  <c r="E1450" i="3"/>
  <c r="B1450" i="3"/>
  <c r="U1449" i="3"/>
  <c r="K1449" i="3"/>
  <c r="E1449" i="3"/>
  <c r="B1449" i="3"/>
  <c r="U1448" i="3"/>
  <c r="K1448" i="3"/>
  <c r="E1448" i="3"/>
  <c r="B1448" i="3"/>
  <c r="U1447" i="3"/>
  <c r="K1447" i="3"/>
  <c r="E1447" i="3"/>
  <c r="B1447" i="3"/>
  <c r="U1446" i="3"/>
  <c r="K1446" i="3"/>
  <c r="E1446" i="3"/>
  <c r="B1446" i="3"/>
  <c r="U1445" i="3"/>
  <c r="K1445" i="3"/>
  <c r="E1445" i="3"/>
  <c r="B1445" i="3"/>
  <c r="U1444" i="3"/>
  <c r="K1444" i="3"/>
  <c r="E1444" i="3"/>
  <c r="B1444" i="3"/>
  <c r="U1443" i="3"/>
  <c r="K1443" i="3"/>
  <c r="E1443" i="3"/>
  <c r="B1443" i="3"/>
  <c r="U1442" i="3"/>
  <c r="K1442" i="3"/>
  <c r="E1442" i="3"/>
  <c r="B1442" i="3"/>
  <c r="U1441" i="3"/>
  <c r="K1441" i="3"/>
  <c r="E1441" i="3"/>
  <c r="B1441" i="3"/>
  <c r="U1440" i="3"/>
  <c r="K1440" i="3"/>
  <c r="E1440" i="3"/>
  <c r="B1440" i="3"/>
  <c r="U1439" i="3"/>
  <c r="K1439" i="3"/>
  <c r="E1439" i="3"/>
  <c r="B1439" i="3"/>
  <c r="U1438" i="3"/>
  <c r="K1438" i="3"/>
  <c r="E1438" i="3"/>
  <c r="B1438" i="3"/>
  <c r="U1437" i="3"/>
  <c r="K1437" i="3"/>
  <c r="E1437" i="3"/>
  <c r="B1437" i="3"/>
  <c r="U1436" i="3"/>
  <c r="K1436" i="3"/>
  <c r="E1436" i="3"/>
  <c r="B1436" i="3"/>
  <c r="U1435" i="3"/>
  <c r="K1435" i="3"/>
  <c r="E1435" i="3"/>
  <c r="B1435" i="3"/>
  <c r="U1434" i="3"/>
  <c r="K1434" i="3"/>
  <c r="E1434" i="3"/>
  <c r="B1434" i="3"/>
  <c r="U1433" i="3"/>
  <c r="K1433" i="3"/>
  <c r="E1433" i="3"/>
  <c r="B1433" i="3"/>
  <c r="U1432" i="3"/>
  <c r="K1432" i="3"/>
  <c r="E1432" i="3"/>
  <c r="B1432" i="3"/>
  <c r="U1431" i="3"/>
  <c r="K1431" i="3"/>
  <c r="E1431" i="3"/>
  <c r="B1431" i="3"/>
  <c r="U1430" i="3"/>
  <c r="K1430" i="3"/>
  <c r="E1430" i="3"/>
  <c r="B1430" i="3"/>
  <c r="U1429" i="3"/>
  <c r="K1429" i="3"/>
  <c r="E1429" i="3"/>
  <c r="B1429" i="3"/>
  <c r="U1428" i="3"/>
  <c r="K1428" i="3"/>
  <c r="E1428" i="3"/>
  <c r="B1428" i="3"/>
  <c r="U1427" i="3"/>
  <c r="K1427" i="3"/>
  <c r="E1427" i="3"/>
  <c r="B1427" i="3"/>
  <c r="U1426" i="3"/>
  <c r="K1426" i="3"/>
  <c r="E1426" i="3"/>
  <c r="B1426" i="3"/>
  <c r="U1425" i="3"/>
  <c r="K1425" i="3"/>
  <c r="E1425" i="3"/>
  <c r="B1425" i="3"/>
  <c r="U1424" i="3"/>
  <c r="K1424" i="3"/>
  <c r="E1424" i="3"/>
  <c r="B1424" i="3"/>
  <c r="U1423" i="3"/>
  <c r="K1423" i="3"/>
  <c r="E1423" i="3"/>
  <c r="B1423" i="3"/>
  <c r="U1422" i="3"/>
  <c r="K1422" i="3"/>
  <c r="E1422" i="3"/>
  <c r="B1422" i="3"/>
  <c r="U1421" i="3"/>
  <c r="K1421" i="3"/>
  <c r="E1421" i="3"/>
  <c r="B1421" i="3"/>
  <c r="U1420" i="3"/>
  <c r="K1420" i="3"/>
  <c r="E1420" i="3"/>
  <c r="B1420" i="3"/>
  <c r="U1419" i="3"/>
  <c r="K1419" i="3"/>
  <c r="E1419" i="3"/>
  <c r="B1419" i="3"/>
  <c r="U1418" i="3"/>
  <c r="K1418" i="3"/>
  <c r="E1418" i="3"/>
  <c r="B1418" i="3"/>
  <c r="U1417" i="3"/>
  <c r="K1417" i="3"/>
  <c r="E1417" i="3"/>
  <c r="B1417" i="3"/>
  <c r="U1416" i="3"/>
  <c r="K1416" i="3"/>
  <c r="E1416" i="3"/>
  <c r="B1416" i="3"/>
  <c r="U1415" i="3"/>
  <c r="K1415" i="3"/>
  <c r="E1415" i="3"/>
  <c r="B1415" i="3"/>
  <c r="U1414" i="3"/>
  <c r="K1414" i="3"/>
  <c r="E1414" i="3"/>
  <c r="B1414" i="3"/>
  <c r="U1413" i="3"/>
  <c r="K1413" i="3"/>
  <c r="E1413" i="3"/>
  <c r="B1413" i="3"/>
  <c r="U1412" i="3"/>
  <c r="K1412" i="3"/>
  <c r="E1412" i="3"/>
  <c r="B1412" i="3"/>
  <c r="U1411" i="3"/>
  <c r="K1411" i="3"/>
  <c r="E1411" i="3"/>
  <c r="B1411" i="3"/>
  <c r="U1410" i="3"/>
  <c r="K1410" i="3"/>
  <c r="E1410" i="3"/>
  <c r="B1410" i="3"/>
  <c r="U1409" i="3"/>
  <c r="K1409" i="3"/>
  <c r="E1409" i="3"/>
  <c r="B1409" i="3"/>
  <c r="U1408" i="3"/>
  <c r="K1408" i="3"/>
  <c r="E1408" i="3"/>
  <c r="B1408" i="3"/>
  <c r="U1407" i="3"/>
  <c r="K1407" i="3"/>
  <c r="E1407" i="3"/>
  <c r="B1407" i="3"/>
  <c r="U1406" i="3"/>
  <c r="K1406" i="3"/>
  <c r="E1406" i="3"/>
  <c r="B1406" i="3"/>
  <c r="U1405" i="3"/>
  <c r="K1405" i="3"/>
  <c r="E1405" i="3"/>
  <c r="B1405" i="3"/>
  <c r="U1404" i="3"/>
  <c r="K1404" i="3"/>
  <c r="E1404" i="3"/>
  <c r="B1404" i="3"/>
  <c r="U1403" i="3"/>
  <c r="K1403" i="3"/>
  <c r="E1403" i="3"/>
  <c r="B1403" i="3"/>
  <c r="U1402" i="3"/>
  <c r="K1402" i="3"/>
  <c r="E1402" i="3"/>
  <c r="B1402" i="3"/>
  <c r="U1401" i="3"/>
  <c r="K1401" i="3"/>
  <c r="E1401" i="3"/>
  <c r="B1401" i="3"/>
  <c r="U1400" i="3"/>
  <c r="K1400" i="3"/>
  <c r="E1400" i="3"/>
  <c r="B1400" i="3"/>
  <c r="U1399" i="3"/>
  <c r="K1399" i="3"/>
  <c r="E1399" i="3"/>
  <c r="B1399" i="3"/>
  <c r="U1398" i="3"/>
  <c r="K1398" i="3"/>
  <c r="E1398" i="3"/>
  <c r="B1398" i="3"/>
  <c r="U1397" i="3"/>
  <c r="K1397" i="3"/>
  <c r="E1397" i="3"/>
  <c r="B1397" i="3"/>
  <c r="U1396" i="3"/>
  <c r="K1396" i="3"/>
  <c r="E1396" i="3"/>
  <c r="B1396" i="3"/>
  <c r="U1395" i="3"/>
  <c r="K1395" i="3"/>
  <c r="E1395" i="3"/>
  <c r="B1395" i="3"/>
  <c r="U1394" i="3"/>
  <c r="K1394" i="3"/>
  <c r="E1394" i="3"/>
  <c r="B1394" i="3"/>
  <c r="U1393" i="3"/>
  <c r="K1393" i="3"/>
  <c r="E1393" i="3"/>
  <c r="B1393" i="3"/>
  <c r="U1392" i="3"/>
  <c r="K1392" i="3"/>
  <c r="E1392" i="3"/>
  <c r="B1392" i="3"/>
  <c r="U1391" i="3"/>
  <c r="K1391" i="3"/>
  <c r="E1391" i="3"/>
  <c r="B1391" i="3"/>
  <c r="U1390" i="3"/>
  <c r="K1390" i="3"/>
  <c r="E1390" i="3"/>
  <c r="B1390" i="3"/>
  <c r="U1389" i="3"/>
  <c r="K1389" i="3"/>
  <c r="E1389" i="3"/>
  <c r="B1389" i="3"/>
  <c r="U1388" i="3"/>
  <c r="K1388" i="3"/>
  <c r="E1388" i="3"/>
  <c r="B1388" i="3"/>
  <c r="U1387" i="3"/>
  <c r="K1387" i="3"/>
  <c r="E1387" i="3"/>
  <c r="B1387" i="3"/>
  <c r="U1386" i="3"/>
  <c r="K1386" i="3"/>
  <c r="E1386" i="3"/>
  <c r="B1386" i="3"/>
  <c r="U1385" i="3"/>
  <c r="K1385" i="3"/>
  <c r="E1385" i="3"/>
  <c r="B1385" i="3"/>
  <c r="U1384" i="3"/>
  <c r="K1384" i="3"/>
  <c r="E1384" i="3"/>
  <c r="B1384" i="3"/>
  <c r="U1383" i="3"/>
  <c r="K1383" i="3"/>
  <c r="E1383" i="3"/>
  <c r="B1383" i="3"/>
  <c r="U1382" i="3"/>
  <c r="K1382" i="3"/>
  <c r="E1382" i="3"/>
  <c r="B1382" i="3"/>
  <c r="U1381" i="3"/>
  <c r="K1381" i="3"/>
  <c r="E1381" i="3"/>
  <c r="B1381" i="3"/>
  <c r="U1380" i="3"/>
  <c r="K1380" i="3"/>
  <c r="E1380" i="3"/>
  <c r="B1380" i="3"/>
  <c r="U1379" i="3"/>
  <c r="K1379" i="3"/>
  <c r="E1379" i="3"/>
  <c r="B1379" i="3"/>
  <c r="U1378" i="3"/>
  <c r="K1378" i="3"/>
  <c r="E1378" i="3"/>
  <c r="B1378" i="3"/>
  <c r="U1377" i="3"/>
  <c r="K1377" i="3"/>
  <c r="E1377" i="3"/>
  <c r="B1377" i="3"/>
  <c r="U1376" i="3"/>
  <c r="K1376" i="3"/>
  <c r="E1376" i="3"/>
  <c r="B1376" i="3"/>
  <c r="U1375" i="3"/>
  <c r="K1375" i="3"/>
  <c r="E1375" i="3"/>
  <c r="B1375" i="3"/>
  <c r="U1374" i="3"/>
  <c r="K1374" i="3"/>
  <c r="E1374" i="3"/>
  <c r="B1374" i="3"/>
  <c r="U1373" i="3"/>
  <c r="K1373" i="3"/>
  <c r="E1373" i="3"/>
  <c r="B1373" i="3"/>
  <c r="U1372" i="3"/>
  <c r="K1372" i="3"/>
  <c r="E1372" i="3"/>
  <c r="B1372" i="3"/>
  <c r="U1371" i="3"/>
  <c r="K1371" i="3"/>
  <c r="E1371" i="3"/>
  <c r="B1371" i="3"/>
  <c r="U1370" i="3"/>
  <c r="K1370" i="3"/>
  <c r="E1370" i="3"/>
  <c r="B1370" i="3"/>
  <c r="U1369" i="3"/>
  <c r="K1369" i="3"/>
  <c r="E1369" i="3"/>
  <c r="B1369" i="3"/>
  <c r="U1368" i="3"/>
  <c r="K1368" i="3"/>
  <c r="E1368" i="3"/>
  <c r="B1368" i="3"/>
  <c r="U1367" i="3"/>
  <c r="K1367" i="3"/>
  <c r="E1367" i="3"/>
  <c r="B1367" i="3"/>
  <c r="U1366" i="3"/>
  <c r="K1366" i="3"/>
  <c r="E1366" i="3"/>
  <c r="B1366" i="3"/>
  <c r="U1365" i="3"/>
  <c r="K1365" i="3"/>
  <c r="E1365" i="3"/>
  <c r="B1365" i="3"/>
  <c r="U1364" i="3"/>
  <c r="K1364" i="3"/>
  <c r="E1364" i="3"/>
  <c r="B1364" i="3"/>
  <c r="U1363" i="3"/>
  <c r="K1363" i="3"/>
  <c r="E1363" i="3"/>
  <c r="B1363" i="3"/>
  <c r="U1362" i="3"/>
  <c r="K1362" i="3"/>
  <c r="E1362" i="3"/>
  <c r="B1362" i="3"/>
  <c r="U1361" i="3"/>
  <c r="K1361" i="3"/>
  <c r="E1361" i="3"/>
  <c r="B1361" i="3"/>
  <c r="U1360" i="3"/>
  <c r="K1360" i="3"/>
  <c r="E1360" i="3"/>
  <c r="B1360" i="3"/>
  <c r="U1359" i="3"/>
  <c r="K1359" i="3"/>
  <c r="E1359" i="3"/>
  <c r="B1359" i="3"/>
  <c r="U1358" i="3"/>
  <c r="K1358" i="3"/>
  <c r="E1358" i="3"/>
  <c r="B1358" i="3"/>
  <c r="U1357" i="3"/>
  <c r="K1357" i="3"/>
  <c r="E1357" i="3"/>
  <c r="B1357" i="3"/>
  <c r="U1356" i="3"/>
  <c r="K1356" i="3"/>
  <c r="E1356" i="3"/>
  <c r="B1356" i="3"/>
  <c r="U1355" i="3"/>
  <c r="K1355" i="3"/>
  <c r="E1355" i="3"/>
  <c r="B1355" i="3"/>
  <c r="U1354" i="3"/>
  <c r="K1354" i="3"/>
  <c r="E1354" i="3"/>
  <c r="B1354" i="3"/>
  <c r="U1353" i="3"/>
  <c r="K1353" i="3"/>
  <c r="E1353" i="3"/>
  <c r="B1353" i="3"/>
  <c r="U1352" i="3"/>
  <c r="K1352" i="3"/>
  <c r="E1352" i="3"/>
  <c r="B1352" i="3"/>
  <c r="U1351" i="3"/>
  <c r="K1351" i="3"/>
  <c r="E1351" i="3"/>
  <c r="B1351" i="3"/>
  <c r="U1350" i="3"/>
  <c r="K1350" i="3"/>
  <c r="E1350" i="3"/>
  <c r="B1350" i="3"/>
  <c r="U1349" i="3"/>
  <c r="K1349" i="3"/>
  <c r="E1349" i="3"/>
  <c r="B1349" i="3"/>
  <c r="U1348" i="3"/>
  <c r="K1348" i="3"/>
  <c r="E1348" i="3"/>
  <c r="B1348" i="3"/>
  <c r="U1347" i="3"/>
  <c r="K1347" i="3"/>
  <c r="E1347" i="3"/>
  <c r="B1347" i="3"/>
  <c r="U1346" i="3"/>
  <c r="K1346" i="3"/>
  <c r="E1346" i="3"/>
  <c r="B1346" i="3"/>
  <c r="U1345" i="3"/>
  <c r="K1345" i="3"/>
  <c r="E1345" i="3"/>
  <c r="B1345" i="3"/>
  <c r="U1344" i="3"/>
  <c r="K1344" i="3"/>
  <c r="E1344" i="3"/>
  <c r="B1344" i="3"/>
  <c r="U1343" i="3"/>
  <c r="K1343" i="3"/>
  <c r="E1343" i="3"/>
  <c r="B1343" i="3"/>
  <c r="U1342" i="3"/>
  <c r="K1342" i="3"/>
  <c r="E1342" i="3"/>
  <c r="B1342" i="3"/>
  <c r="U1341" i="3"/>
  <c r="K1341" i="3"/>
  <c r="E1341" i="3"/>
  <c r="B1341" i="3"/>
  <c r="U1340" i="3"/>
  <c r="K1340" i="3"/>
  <c r="E1340" i="3"/>
  <c r="B1340" i="3"/>
  <c r="U1339" i="3"/>
  <c r="K1339" i="3"/>
  <c r="E1339" i="3"/>
  <c r="B1339" i="3"/>
  <c r="U1338" i="3"/>
  <c r="K1338" i="3"/>
  <c r="E1338" i="3"/>
  <c r="B1338" i="3"/>
  <c r="U1337" i="3"/>
  <c r="K1337" i="3"/>
  <c r="E1337" i="3"/>
  <c r="B1337" i="3"/>
  <c r="U1336" i="3"/>
  <c r="K1336" i="3"/>
  <c r="E1336" i="3"/>
  <c r="B1336" i="3"/>
  <c r="U1335" i="3"/>
  <c r="K1335" i="3"/>
  <c r="E1335" i="3"/>
  <c r="B1335" i="3"/>
  <c r="U1334" i="3"/>
  <c r="K1334" i="3"/>
  <c r="E1334" i="3"/>
  <c r="B1334" i="3"/>
  <c r="U1333" i="3"/>
  <c r="K1333" i="3"/>
  <c r="E1333" i="3"/>
  <c r="B1333" i="3"/>
  <c r="U1332" i="3"/>
  <c r="K1332" i="3"/>
  <c r="E1332" i="3"/>
  <c r="B1332" i="3"/>
  <c r="U1331" i="3"/>
  <c r="K1331" i="3"/>
  <c r="E1331" i="3"/>
  <c r="B1331" i="3"/>
  <c r="U1330" i="3"/>
  <c r="K1330" i="3"/>
  <c r="E1330" i="3"/>
  <c r="B1330" i="3"/>
  <c r="U1329" i="3"/>
  <c r="K1329" i="3"/>
  <c r="E1329" i="3"/>
  <c r="B1329" i="3"/>
  <c r="U1328" i="3"/>
  <c r="K1328" i="3"/>
  <c r="E1328" i="3"/>
  <c r="B1328" i="3"/>
  <c r="U1327" i="3"/>
  <c r="K1327" i="3"/>
  <c r="E1327" i="3"/>
  <c r="B1327" i="3"/>
  <c r="U1326" i="3"/>
  <c r="K1326" i="3"/>
  <c r="E1326" i="3"/>
  <c r="B1326" i="3"/>
  <c r="U1325" i="3"/>
  <c r="K1325" i="3"/>
  <c r="E1325" i="3"/>
  <c r="B1325" i="3"/>
  <c r="U1324" i="3"/>
  <c r="K1324" i="3"/>
  <c r="E1324" i="3"/>
  <c r="B1324" i="3"/>
  <c r="U1323" i="3"/>
  <c r="K1323" i="3"/>
  <c r="E1323" i="3"/>
  <c r="B1323" i="3"/>
  <c r="U1322" i="3"/>
  <c r="K1322" i="3"/>
  <c r="E1322" i="3"/>
  <c r="B1322" i="3"/>
  <c r="U1321" i="3"/>
  <c r="K1321" i="3"/>
  <c r="E1321" i="3"/>
  <c r="B1321" i="3"/>
  <c r="U1320" i="3"/>
  <c r="K1320" i="3"/>
  <c r="E1320" i="3"/>
  <c r="B1320" i="3"/>
  <c r="U1319" i="3"/>
  <c r="K1319" i="3"/>
  <c r="E1319" i="3"/>
  <c r="B1319" i="3"/>
  <c r="U1318" i="3"/>
  <c r="K1318" i="3"/>
  <c r="E1318" i="3"/>
  <c r="B1318" i="3"/>
  <c r="U1317" i="3"/>
  <c r="K1317" i="3"/>
  <c r="E1317" i="3"/>
  <c r="B1317" i="3"/>
  <c r="U1316" i="3"/>
  <c r="K1316" i="3"/>
  <c r="E1316" i="3"/>
  <c r="B1316" i="3"/>
  <c r="U1315" i="3"/>
  <c r="K1315" i="3"/>
  <c r="E1315" i="3"/>
  <c r="B1315" i="3"/>
  <c r="U1314" i="3"/>
  <c r="K1314" i="3"/>
  <c r="E1314" i="3"/>
  <c r="B1314" i="3"/>
  <c r="U1313" i="3"/>
  <c r="K1313" i="3"/>
  <c r="E1313" i="3"/>
  <c r="B1313" i="3"/>
  <c r="U1312" i="3"/>
  <c r="K1312" i="3"/>
  <c r="E1312" i="3"/>
  <c r="B1312" i="3"/>
  <c r="U1311" i="3"/>
  <c r="K1311" i="3"/>
  <c r="E1311" i="3"/>
  <c r="B1311" i="3"/>
  <c r="U1310" i="3"/>
  <c r="K1310" i="3"/>
  <c r="E1310" i="3"/>
  <c r="B1310" i="3"/>
  <c r="U1309" i="3"/>
  <c r="K1309" i="3"/>
  <c r="E1309" i="3"/>
  <c r="B1309" i="3"/>
  <c r="U1308" i="3"/>
  <c r="K1308" i="3"/>
  <c r="E1308" i="3"/>
  <c r="B1308" i="3"/>
  <c r="U1307" i="3"/>
  <c r="K1307" i="3"/>
  <c r="E1307" i="3"/>
  <c r="B1307" i="3"/>
  <c r="U1306" i="3"/>
  <c r="K1306" i="3"/>
  <c r="E1306" i="3"/>
  <c r="B1306" i="3"/>
  <c r="U1305" i="3"/>
  <c r="K1305" i="3"/>
  <c r="E1305" i="3"/>
  <c r="B1305" i="3"/>
  <c r="U1304" i="3"/>
  <c r="K1304" i="3"/>
  <c r="E1304" i="3"/>
  <c r="B1304" i="3"/>
  <c r="U1303" i="3"/>
  <c r="K1303" i="3"/>
  <c r="E1303" i="3"/>
  <c r="B1303" i="3"/>
  <c r="U1302" i="3"/>
  <c r="K1302" i="3"/>
  <c r="E1302" i="3"/>
  <c r="B1302" i="3"/>
  <c r="U1301" i="3"/>
  <c r="K1301" i="3"/>
  <c r="E1301" i="3"/>
  <c r="B1301" i="3"/>
  <c r="U1300" i="3"/>
  <c r="K1300" i="3"/>
  <c r="E1300" i="3"/>
  <c r="B1300" i="3"/>
  <c r="U1299" i="3"/>
  <c r="K1299" i="3"/>
  <c r="E1299" i="3"/>
  <c r="B1299" i="3"/>
  <c r="U1298" i="3"/>
  <c r="K1298" i="3"/>
  <c r="E1298" i="3"/>
  <c r="B1298" i="3"/>
  <c r="U1297" i="3"/>
  <c r="K1297" i="3"/>
  <c r="E1297" i="3"/>
  <c r="B1297" i="3"/>
  <c r="U1296" i="3"/>
  <c r="K1296" i="3"/>
  <c r="E1296" i="3"/>
  <c r="B1296" i="3"/>
  <c r="U1295" i="3"/>
  <c r="K1295" i="3"/>
  <c r="E1295" i="3"/>
  <c r="B1295" i="3"/>
  <c r="U1294" i="3"/>
  <c r="K1294" i="3"/>
  <c r="E1294" i="3"/>
  <c r="B1294" i="3"/>
  <c r="U1293" i="3"/>
  <c r="K1293" i="3"/>
  <c r="E1293" i="3"/>
  <c r="B1293" i="3"/>
  <c r="U1292" i="3"/>
  <c r="K1292" i="3"/>
  <c r="E1292" i="3"/>
  <c r="B1292" i="3"/>
  <c r="U1291" i="3"/>
  <c r="K1291" i="3"/>
  <c r="E1291" i="3"/>
  <c r="B1291" i="3"/>
  <c r="U1290" i="3"/>
  <c r="K1290" i="3"/>
  <c r="E1290" i="3"/>
  <c r="B1290" i="3"/>
  <c r="U1289" i="3"/>
  <c r="K1289" i="3"/>
  <c r="E1289" i="3"/>
  <c r="B1289" i="3"/>
  <c r="U1288" i="3"/>
  <c r="K1288" i="3"/>
  <c r="E1288" i="3"/>
  <c r="B1288" i="3"/>
  <c r="U1287" i="3"/>
  <c r="K1287" i="3"/>
  <c r="E1287" i="3"/>
  <c r="B1287" i="3"/>
  <c r="U1286" i="3"/>
  <c r="K1286" i="3"/>
  <c r="E1286" i="3"/>
  <c r="B1286" i="3"/>
  <c r="U1285" i="3"/>
  <c r="K1285" i="3"/>
  <c r="E1285" i="3"/>
  <c r="B1285" i="3"/>
  <c r="U1284" i="3"/>
  <c r="K1284" i="3"/>
  <c r="E1284" i="3"/>
  <c r="B1284" i="3"/>
  <c r="U1283" i="3"/>
  <c r="K1283" i="3"/>
  <c r="E1283" i="3"/>
  <c r="B1283" i="3"/>
  <c r="U1282" i="3"/>
  <c r="K1282" i="3"/>
  <c r="E1282" i="3"/>
  <c r="B1282" i="3"/>
  <c r="U1281" i="3"/>
  <c r="K1281" i="3"/>
  <c r="E1281" i="3"/>
  <c r="B1281" i="3"/>
  <c r="U1280" i="3"/>
  <c r="K1280" i="3"/>
  <c r="E1280" i="3"/>
  <c r="B1280" i="3"/>
  <c r="U1279" i="3"/>
  <c r="K1279" i="3"/>
  <c r="E1279" i="3"/>
  <c r="B1279" i="3"/>
  <c r="U1278" i="3"/>
  <c r="K1278" i="3"/>
  <c r="E1278" i="3"/>
  <c r="B1278" i="3"/>
  <c r="U1277" i="3"/>
  <c r="K1277" i="3"/>
  <c r="E1277" i="3"/>
  <c r="B1277" i="3"/>
  <c r="U1276" i="3"/>
  <c r="K1276" i="3"/>
  <c r="E1276" i="3"/>
  <c r="B1276" i="3"/>
  <c r="U1275" i="3"/>
  <c r="K1275" i="3"/>
  <c r="E1275" i="3"/>
  <c r="B1275" i="3"/>
  <c r="U1274" i="3"/>
  <c r="K1274" i="3"/>
  <c r="E1274" i="3"/>
  <c r="B1274" i="3"/>
  <c r="U1273" i="3"/>
  <c r="K1273" i="3"/>
  <c r="E1273" i="3"/>
  <c r="B1273" i="3"/>
  <c r="U1272" i="3"/>
  <c r="K1272" i="3"/>
  <c r="E1272" i="3"/>
  <c r="B1272" i="3"/>
  <c r="U1271" i="3"/>
  <c r="K1271" i="3"/>
  <c r="E1271" i="3"/>
  <c r="B1271" i="3"/>
  <c r="U1270" i="3"/>
  <c r="K1270" i="3"/>
  <c r="E1270" i="3"/>
  <c r="B1270" i="3"/>
  <c r="U1269" i="3"/>
  <c r="K1269" i="3"/>
  <c r="E1269" i="3"/>
  <c r="B1269" i="3"/>
  <c r="U1268" i="3"/>
  <c r="K1268" i="3"/>
  <c r="E1268" i="3"/>
  <c r="B1268" i="3"/>
  <c r="U1267" i="3"/>
  <c r="K1267" i="3"/>
  <c r="E1267" i="3"/>
  <c r="B1267" i="3"/>
  <c r="U1266" i="3"/>
  <c r="K1266" i="3"/>
  <c r="E1266" i="3"/>
  <c r="B1266" i="3"/>
  <c r="U1265" i="3"/>
  <c r="K1265" i="3"/>
  <c r="E1265" i="3"/>
  <c r="B1265" i="3"/>
  <c r="U1264" i="3"/>
  <c r="K1264" i="3"/>
  <c r="E1264" i="3"/>
  <c r="B1264" i="3"/>
  <c r="U1263" i="3"/>
  <c r="K1263" i="3"/>
  <c r="E1263" i="3"/>
  <c r="B1263" i="3"/>
  <c r="U1262" i="3"/>
  <c r="K1262" i="3"/>
  <c r="E1262" i="3"/>
  <c r="B1262" i="3"/>
  <c r="U1261" i="3"/>
  <c r="K1261" i="3"/>
  <c r="E1261" i="3"/>
  <c r="B1261" i="3"/>
  <c r="U1260" i="3"/>
  <c r="K1260" i="3"/>
  <c r="E1260" i="3"/>
  <c r="B1260" i="3"/>
  <c r="U1259" i="3"/>
  <c r="K1259" i="3"/>
  <c r="E1259" i="3"/>
  <c r="B1259" i="3"/>
  <c r="U1258" i="3"/>
  <c r="K1258" i="3"/>
  <c r="E1258" i="3"/>
  <c r="B1258" i="3"/>
  <c r="U1257" i="3"/>
  <c r="K1257" i="3"/>
  <c r="E1257" i="3"/>
  <c r="B1257" i="3"/>
  <c r="U1256" i="3"/>
  <c r="K1256" i="3"/>
  <c r="E1256" i="3"/>
  <c r="B1256" i="3"/>
  <c r="U1255" i="3"/>
  <c r="K1255" i="3"/>
  <c r="E1255" i="3"/>
  <c r="B1255" i="3"/>
  <c r="U1254" i="3"/>
  <c r="K1254" i="3"/>
  <c r="E1254" i="3"/>
  <c r="B1254" i="3"/>
  <c r="U1253" i="3"/>
  <c r="K1253" i="3"/>
  <c r="E1253" i="3"/>
  <c r="B1253" i="3"/>
  <c r="U1252" i="3"/>
  <c r="K1252" i="3"/>
  <c r="E1252" i="3"/>
  <c r="B1252" i="3"/>
  <c r="U1251" i="3"/>
  <c r="K1251" i="3"/>
  <c r="E1251" i="3"/>
  <c r="B1251" i="3"/>
  <c r="U1250" i="3"/>
  <c r="K1250" i="3"/>
  <c r="E1250" i="3"/>
  <c r="B1250" i="3"/>
  <c r="U1249" i="3"/>
  <c r="K1249" i="3"/>
  <c r="E1249" i="3"/>
  <c r="B1249" i="3"/>
  <c r="U1248" i="3"/>
  <c r="K1248" i="3"/>
  <c r="E1248" i="3"/>
  <c r="B1248" i="3"/>
  <c r="U1247" i="3"/>
  <c r="K1247" i="3"/>
  <c r="E1247" i="3"/>
  <c r="B1247" i="3"/>
  <c r="U1246" i="3"/>
  <c r="K1246" i="3"/>
  <c r="E1246" i="3"/>
  <c r="B1246" i="3"/>
  <c r="U1245" i="3"/>
  <c r="K1245" i="3"/>
  <c r="E1245" i="3"/>
  <c r="B1245" i="3"/>
  <c r="U1244" i="3"/>
  <c r="K1244" i="3"/>
  <c r="E1244" i="3"/>
  <c r="B1244" i="3"/>
  <c r="U1243" i="3"/>
  <c r="K1243" i="3"/>
  <c r="E1243" i="3"/>
  <c r="B1243" i="3"/>
  <c r="U1242" i="3"/>
  <c r="K1242" i="3"/>
  <c r="E1242" i="3"/>
  <c r="B1242" i="3"/>
  <c r="U1241" i="3"/>
  <c r="K1241" i="3"/>
  <c r="E1241" i="3"/>
  <c r="B1241" i="3"/>
  <c r="U1240" i="3"/>
  <c r="K1240" i="3"/>
  <c r="E1240" i="3"/>
  <c r="B1240" i="3"/>
  <c r="U1239" i="3"/>
  <c r="K1239" i="3"/>
  <c r="E1239" i="3"/>
  <c r="B1239" i="3"/>
  <c r="U1238" i="3"/>
  <c r="K1238" i="3"/>
  <c r="E1238" i="3"/>
  <c r="B1238" i="3"/>
  <c r="U1237" i="3"/>
  <c r="K1237" i="3"/>
  <c r="E1237" i="3"/>
  <c r="B1237" i="3"/>
  <c r="U1236" i="3"/>
  <c r="K1236" i="3"/>
  <c r="E1236" i="3"/>
  <c r="B1236" i="3"/>
  <c r="U1235" i="3"/>
  <c r="K1235" i="3"/>
  <c r="E1235" i="3"/>
  <c r="B1235" i="3"/>
  <c r="U1234" i="3"/>
  <c r="K1234" i="3"/>
  <c r="E1234" i="3"/>
  <c r="B1234" i="3"/>
  <c r="U1233" i="3"/>
  <c r="K1233" i="3"/>
  <c r="E1233" i="3"/>
  <c r="B1233" i="3"/>
  <c r="U1232" i="3"/>
  <c r="K1232" i="3"/>
  <c r="E1232" i="3"/>
  <c r="B1232" i="3"/>
  <c r="U1231" i="3"/>
  <c r="K1231" i="3"/>
  <c r="E1231" i="3"/>
  <c r="B1231" i="3"/>
  <c r="U1230" i="3"/>
  <c r="K1230" i="3"/>
  <c r="E1230" i="3"/>
  <c r="B1230" i="3"/>
  <c r="U1229" i="3"/>
  <c r="K1229" i="3"/>
  <c r="E1229" i="3"/>
  <c r="B1229" i="3"/>
  <c r="U1228" i="3"/>
  <c r="K1228" i="3"/>
  <c r="E1228" i="3"/>
  <c r="B1228" i="3"/>
  <c r="U1227" i="3"/>
  <c r="K1227" i="3"/>
  <c r="E1227" i="3"/>
  <c r="B1227" i="3"/>
  <c r="U1226" i="3"/>
  <c r="K1226" i="3"/>
  <c r="E1226" i="3"/>
  <c r="B1226" i="3"/>
  <c r="U1225" i="3"/>
  <c r="K1225" i="3"/>
  <c r="E1225" i="3"/>
  <c r="B1225" i="3"/>
  <c r="U1224" i="3"/>
  <c r="K1224" i="3"/>
  <c r="E1224" i="3"/>
  <c r="B1224" i="3"/>
  <c r="U1223" i="3"/>
  <c r="K1223" i="3"/>
  <c r="E1223" i="3"/>
  <c r="B1223" i="3"/>
  <c r="U1222" i="3"/>
  <c r="K1222" i="3"/>
  <c r="E1222" i="3"/>
  <c r="B1222" i="3"/>
  <c r="U1221" i="3"/>
  <c r="K1221" i="3"/>
  <c r="E1221" i="3"/>
  <c r="B1221" i="3"/>
  <c r="U1220" i="3"/>
  <c r="K1220" i="3"/>
  <c r="E1220" i="3"/>
  <c r="B1220" i="3"/>
  <c r="U1219" i="3"/>
  <c r="K1219" i="3"/>
  <c r="E1219" i="3"/>
  <c r="B1219" i="3"/>
  <c r="U1218" i="3"/>
  <c r="K1218" i="3"/>
  <c r="E1218" i="3"/>
  <c r="B1218" i="3"/>
  <c r="U1217" i="3"/>
  <c r="K1217" i="3"/>
  <c r="E1217" i="3"/>
  <c r="B1217" i="3"/>
  <c r="U1216" i="3"/>
  <c r="K1216" i="3"/>
  <c r="E1216" i="3"/>
  <c r="B1216" i="3"/>
  <c r="U1215" i="3"/>
  <c r="K1215" i="3"/>
  <c r="E1215" i="3"/>
  <c r="B1215" i="3"/>
  <c r="U1214" i="3"/>
  <c r="K1214" i="3"/>
  <c r="E1214" i="3"/>
  <c r="B1214" i="3"/>
  <c r="U1213" i="3"/>
  <c r="K1213" i="3"/>
  <c r="E1213" i="3"/>
  <c r="B1213" i="3"/>
  <c r="U1212" i="3"/>
  <c r="K1212" i="3"/>
  <c r="E1212" i="3"/>
  <c r="B1212" i="3"/>
  <c r="U1211" i="3"/>
  <c r="K1211" i="3"/>
  <c r="E1211" i="3"/>
  <c r="B1211" i="3"/>
  <c r="U1210" i="3"/>
  <c r="K1210" i="3"/>
  <c r="E1210" i="3"/>
  <c r="B1210" i="3"/>
  <c r="U1209" i="3"/>
  <c r="K1209" i="3"/>
  <c r="E1209" i="3"/>
  <c r="B1209" i="3"/>
  <c r="U1208" i="3"/>
  <c r="K1208" i="3"/>
  <c r="E1208" i="3"/>
  <c r="B1208" i="3"/>
  <c r="U1207" i="3"/>
  <c r="K1207" i="3"/>
  <c r="E1207" i="3"/>
  <c r="B1207" i="3"/>
  <c r="U1206" i="3"/>
  <c r="K1206" i="3"/>
  <c r="E1206" i="3"/>
  <c r="B1206" i="3"/>
  <c r="U1205" i="3"/>
  <c r="K1205" i="3"/>
  <c r="E1205" i="3"/>
  <c r="B1205" i="3"/>
  <c r="U1204" i="3"/>
  <c r="K1204" i="3"/>
  <c r="E1204" i="3"/>
  <c r="B1204" i="3"/>
  <c r="U1203" i="3"/>
  <c r="K1203" i="3"/>
  <c r="E1203" i="3"/>
  <c r="B1203" i="3"/>
  <c r="U1202" i="3"/>
  <c r="K1202" i="3"/>
  <c r="E1202" i="3"/>
  <c r="B1202" i="3"/>
  <c r="U1201" i="3"/>
  <c r="K1201" i="3"/>
  <c r="E1201" i="3"/>
  <c r="B1201" i="3"/>
  <c r="U1200" i="3"/>
  <c r="K1200" i="3"/>
  <c r="E1200" i="3"/>
  <c r="B1200" i="3"/>
  <c r="U1199" i="3"/>
  <c r="K1199" i="3"/>
  <c r="E1199" i="3"/>
  <c r="B1199" i="3"/>
  <c r="U1198" i="3"/>
  <c r="K1198" i="3"/>
  <c r="E1198" i="3"/>
  <c r="B1198" i="3"/>
  <c r="U1197" i="3"/>
  <c r="K1197" i="3"/>
  <c r="E1197" i="3"/>
  <c r="B1197" i="3"/>
  <c r="U1196" i="3"/>
  <c r="K1196" i="3"/>
  <c r="E1196" i="3"/>
  <c r="B1196" i="3"/>
  <c r="U1195" i="3"/>
  <c r="K1195" i="3"/>
  <c r="E1195" i="3"/>
  <c r="B1195" i="3"/>
  <c r="U1194" i="3"/>
  <c r="K1194" i="3"/>
  <c r="E1194" i="3"/>
  <c r="B1194" i="3"/>
  <c r="U1193" i="3"/>
  <c r="K1193" i="3"/>
  <c r="E1193" i="3"/>
  <c r="B1193" i="3"/>
  <c r="U1192" i="3"/>
  <c r="K1192" i="3"/>
  <c r="E1192" i="3"/>
  <c r="B1192" i="3"/>
  <c r="U1191" i="3"/>
  <c r="K1191" i="3"/>
  <c r="E1191" i="3"/>
  <c r="B1191" i="3"/>
  <c r="U1190" i="3"/>
  <c r="K1190" i="3"/>
  <c r="E1190" i="3"/>
  <c r="B1190" i="3"/>
  <c r="U1189" i="3"/>
  <c r="K1189" i="3"/>
  <c r="E1189" i="3"/>
  <c r="B1189" i="3"/>
  <c r="U1188" i="3"/>
  <c r="K1188" i="3"/>
  <c r="E1188" i="3"/>
  <c r="B1188" i="3"/>
  <c r="U1187" i="3"/>
  <c r="K1187" i="3"/>
  <c r="E1187" i="3"/>
  <c r="B1187" i="3"/>
  <c r="U1186" i="3"/>
  <c r="K1186" i="3"/>
  <c r="E1186" i="3"/>
  <c r="B1186" i="3"/>
  <c r="U1185" i="3"/>
  <c r="K1185" i="3"/>
  <c r="E1185" i="3"/>
  <c r="B1185" i="3"/>
  <c r="U1184" i="3"/>
  <c r="K1184" i="3"/>
  <c r="E1184" i="3"/>
  <c r="B1184" i="3"/>
  <c r="U1183" i="3"/>
  <c r="K1183" i="3"/>
  <c r="E1183" i="3"/>
  <c r="B1183" i="3"/>
  <c r="U1182" i="3"/>
  <c r="K1182" i="3"/>
  <c r="E1182" i="3"/>
  <c r="B1182" i="3"/>
  <c r="U1181" i="3"/>
  <c r="K1181" i="3"/>
  <c r="E1181" i="3"/>
  <c r="B1181" i="3"/>
  <c r="U1180" i="3"/>
  <c r="K1180" i="3"/>
  <c r="E1180" i="3"/>
  <c r="B1180" i="3"/>
  <c r="U1179" i="3"/>
  <c r="K1179" i="3"/>
  <c r="E1179" i="3"/>
  <c r="B1179" i="3"/>
  <c r="U1178" i="3"/>
  <c r="K1178" i="3"/>
  <c r="E1178" i="3"/>
  <c r="B1178" i="3"/>
  <c r="U1177" i="3"/>
  <c r="K1177" i="3"/>
  <c r="E1177" i="3"/>
  <c r="B1177" i="3"/>
  <c r="U1176" i="3"/>
  <c r="K1176" i="3"/>
  <c r="E1176" i="3"/>
  <c r="B1176" i="3"/>
  <c r="U1175" i="3"/>
  <c r="K1175" i="3"/>
  <c r="E1175" i="3"/>
  <c r="B1175" i="3"/>
  <c r="U1174" i="3"/>
  <c r="K1174" i="3"/>
  <c r="E1174" i="3"/>
  <c r="B1174" i="3"/>
  <c r="U1173" i="3"/>
  <c r="K1173" i="3"/>
  <c r="E1173" i="3"/>
  <c r="B1173" i="3"/>
  <c r="U1172" i="3"/>
  <c r="K1172" i="3"/>
  <c r="E1172" i="3"/>
  <c r="B1172" i="3"/>
  <c r="U1171" i="3"/>
  <c r="K1171" i="3"/>
  <c r="E1171" i="3"/>
  <c r="B1171" i="3"/>
  <c r="U1170" i="3"/>
  <c r="K1170" i="3"/>
  <c r="E1170" i="3"/>
  <c r="B1170" i="3"/>
  <c r="U1169" i="3"/>
  <c r="K1169" i="3"/>
  <c r="E1169" i="3"/>
  <c r="B1169" i="3"/>
  <c r="U1168" i="3"/>
  <c r="K1168" i="3"/>
  <c r="E1168" i="3"/>
  <c r="B1168" i="3"/>
  <c r="U1167" i="3"/>
  <c r="K1167" i="3"/>
  <c r="E1167" i="3"/>
  <c r="B1167" i="3"/>
  <c r="U1166" i="3"/>
  <c r="K1166" i="3"/>
  <c r="E1166" i="3"/>
  <c r="B1166" i="3"/>
  <c r="U1165" i="3"/>
  <c r="K1165" i="3"/>
  <c r="E1165" i="3"/>
  <c r="B1165" i="3"/>
  <c r="U1164" i="3"/>
  <c r="K1164" i="3"/>
  <c r="E1164" i="3"/>
  <c r="B1164" i="3"/>
  <c r="U1163" i="3"/>
  <c r="K1163" i="3"/>
  <c r="E1163" i="3"/>
  <c r="B1163" i="3"/>
  <c r="U1162" i="3"/>
  <c r="K1162" i="3"/>
  <c r="E1162" i="3"/>
  <c r="B1162" i="3"/>
  <c r="U1161" i="3"/>
  <c r="K1161" i="3"/>
  <c r="E1161" i="3"/>
  <c r="B1161" i="3"/>
  <c r="U1160" i="3"/>
  <c r="K1160" i="3"/>
  <c r="E1160" i="3"/>
  <c r="B1160" i="3"/>
  <c r="U1159" i="3"/>
  <c r="K1159" i="3"/>
  <c r="E1159" i="3"/>
  <c r="B1159" i="3"/>
  <c r="U1158" i="3"/>
  <c r="K1158" i="3"/>
  <c r="E1158" i="3"/>
  <c r="B1158" i="3"/>
  <c r="U1157" i="3"/>
  <c r="K1157" i="3"/>
  <c r="E1157" i="3"/>
  <c r="B1157" i="3"/>
  <c r="U1156" i="3"/>
  <c r="K1156" i="3"/>
  <c r="E1156" i="3"/>
  <c r="B1156" i="3"/>
  <c r="U1155" i="3"/>
  <c r="K1155" i="3"/>
  <c r="E1155" i="3"/>
  <c r="B1155" i="3"/>
  <c r="K1154" i="3"/>
  <c r="E1154" i="3"/>
  <c r="B1154" i="3"/>
  <c r="U1153" i="3"/>
  <c r="K1153" i="3"/>
  <c r="E1153" i="3"/>
  <c r="B1153" i="3"/>
  <c r="U1152" i="3"/>
  <c r="K1152" i="3"/>
  <c r="E1152" i="3"/>
  <c r="B1152" i="3"/>
  <c r="U1151" i="3"/>
  <c r="K1151" i="3"/>
  <c r="E1151" i="3"/>
  <c r="B1151" i="3"/>
  <c r="U1150" i="3"/>
  <c r="K1150" i="3"/>
  <c r="E1150" i="3"/>
  <c r="B1150" i="3"/>
  <c r="U1149" i="3"/>
  <c r="K1149" i="3"/>
  <c r="E1149" i="3"/>
  <c r="B1149" i="3"/>
  <c r="U1148" i="3"/>
  <c r="K1148" i="3"/>
  <c r="E1148" i="3"/>
  <c r="B1148" i="3"/>
  <c r="U1147" i="3"/>
  <c r="K1147" i="3"/>
  <c r="E1147" i="3"/>
  <c r="B1147" i="3"/>
  <c r="U1146" i="3"/>
  <c r="K1146" i="3"/>
  <c r="E1146" i="3"/>
  <c r="B1146" i="3"/>
  <c r="U1145" i="3"/>
  <c r="K1145" i="3"/>
  <c r="E1145" i="3"/>
  <c r="B1145" i="3"/>
  <c r="U1144" i="3"/>
  <c r="K1144" i="3"/>
  <c r="E1144" i="3"/>
  <c r="B1144" i="3"/>
  <c r="U1143" i="3"/>
  <c r="K1143" i="3"/>
  <c r="E1143" i="3"/>
  <c r="B1143" i="3"/>
  <c r="U1142" i="3"/>
  <c r="K1142" i="3"/>
  <c r="E1142" i="3"/>
  <c r="B1142" i="3"/>
  <c r="U1141" i="3"/>
  <c r="K1141" i="3"/>
  <c r="E1141" i="3"/>
  <c r="B1141" i="3"/>
  <c r="U1140" i="3"/>
  <c r="K1140" i="3"/>
  <c r="E1140" i="3"/>
  <c r="B1140" i="3"/>
  <c r="U1139" i="3"/>
  <c r="K1139" i="3"/>
  <c r="E1139" i="3"/>
  <c r="B1139" i="3"/>
  <c r="U1138" i="3"/>
  <c r="K1138" i="3"/>
  <c r="E1138" i="3"/>
  <c r="B1138" i="3"/>
  <c r="U1137" i="3"/>
  <c r="K1137" i="3"/>
  <c r="E1137" i="3"/>
  <c r="B1137" i="3"/>
  <c r="U1136" i="3"/>
  <c r="K1136" i="3"/>
  <c r="E1136" i="3"/>
  <c r="B1136" i="3"/>
  <c r="U1135" i="3"/>
  <c r="K1135" i="3"/>
  <c r="E1135" i="3"/>
  <c r="B1135" i="3"/>
  <c r="U1134" i="3"/>
  <c r="K1134" i="3"/>
  <c r="E1134" i="3"/>
  <c r="B1134" i="3"/>
  <c r="U1133" i="3"/>
  <c r="K1133" i="3"/>
  <c r="E1133" i="3"/>
  <c r="B1133" i="3"/>
  <c r="U1132" i="3"/>
  <c r="K1132" i="3"/>
  <c r="E1132" i="3"/>
  <c r="B1132" i="3"/>
  <c r="U1131" i="3"/>
  <c r="K1131" i="3"/>
  <c r="E1131" i="3"/>
  <c r="B1131" i="3"/>
  <c r="U1130" i="3"/>
  <c r="K1130" i="3"/>
  <c r="E1130" i="3"/>
  <c r="B1130" i="3"/>
  <c r="U1129" i="3"/>
  <c r="K1129" i="3"/>
  <c r="E1129" i="3"/>
  <c r="B1129" i="3"/>
  <c r="U1128" i="3"/>
  <c r="K1128" i="3"/>
  <c r="E1128" i="3"/>
  <c r="B1128" i="3"/>
  <c r="U1127" i="3"/>
  <c r="K1127" i="3"/>
  <c r="E1127" i="3"/>
  <c r="B1127" i="3"/>
  <c r="U1126" i="3"/>
  <c r="K1126" i="3"/>
  <c r="E1126" i="3"/>
  <c r="B1126" i="3"/>
  <c r="U1125" i="3"/>
  <c r="K1125" i="3"/>
  <c r="E1125" i="3"/>
  <c r="B1125" i="3"/>
  <c r="U1124" i="3"/>
  <c r="K1124" i="3"/>
  <c r="E1124" i="3"/>
  <c r="B1124" i="3"/>
  <c r="U1123" i="3"/>
  <c r="K1123" i="3"/>
  <c r="E1123" i="3"/>
  <c r="B1123" i="3"/>
  <c r="U1122" i="3"/>
  <c r="K1122" i="3"/>
  <c r="E1122" i="3"/>
  <c r="B1122" i="3"/>
  <c r="U1121" i="3"/>
  <c r="K1121" i="3"/>
  <c r="E1121" i="3"/>
  <c r="B1121" i="3"/>
  <c r="U1120" i="3"/>
  <c r="K1120" i="3"/>
  <c r="E1120" i="3"/>
  <c r="B1120" i="3"/>
  <c r="U1119" i="3"/>
  <c r="K1119" i="3"/>
  <c r="E1119" i="3"/>
  <c r="B1119" i="3"/>
  <c r="U1118" i="3"/>
  <c r="K1118" i="3"/>
  <c r="E1118" i="3"/>
  <c r="B1118" i="3"/>
  <c r="U1117" i="3"/>
  <c r="K1117" i="3"/>
  <c r="E1117" i="3"/>
  <c r="B1117" i="3"/>
  <c r="U1116" i="3"/>
  <c r="K1116" i="3"/>
  <c r="E1116" i="3"/>
  <c r="B1116" i="3"/>
  <c r="U1115" i="3"/>
  <c r="K1115" i="3"/>
  <c r="E1115" i="3"/>
  <c r="B1115" i="3"/>
  <c r="U1114" i="3"/>
  <c r="K1114" i="3"/>
  <c r="E1114" i="3"/>
  <c r="B1114" i="3"/>
  <c r="U1113" i="3"/>
  <c r="K1113" i="3"/>
  <c r="E1113" i="3"/>
  <c r="B1113" i="3"/>
  <c r="U1112" i="3"/>
  <c r="K1112" i="3"/>
  <c r="E1112" i="3"/>
  <c r="B1112" i="3"/>
  <c r="U1111" i="3"/>
  <c r="K1111" i="3"/>
  <c r="E1111" i="3"/>
  <c r="B1111" i="3"/>
  <c r="U1110" i="3"/>
  <c r="K1110" i="3"/>
  <c r="E1110" i="3"/>
  <c r="B1110" i="3"/>
  <c r="U1109" i="3"/>
  <c r="K1109" i="3"/>
  <c r="E1109" i="3"/>
  <c r="B1109" i="3"/>
  <c r="U1108" i="3"/>
  <c r="K1108" i="3"/>
  <c r="E1108" i="3"/>
  <c r="B1108" i="3"/>
  <c r="U1107" i="3"/>
  <c r="K1107" i="3"/>
  <c r="E1107" i="3"/>
  <c r="B1107" i="3"/>
  <c r="U1106" i="3"/>
  <c r="K1106" i="3"/>
  <c r="E1106" i="3"/>
  <c r="B1106" i="3"/>
  <c r="U1105" i="3"/>
  <c r="K1105" i="3"/>
  <c r="E1105" i="3"/>
  <c r="B1105" i="3"/>
  <c r="U1104" i="3"/>
  <c r="K1104" i="3"/>
  <c r="E1104" i="3"/>
  <c r="B1104" i="3"/>
  <c r="U1103" i="3"/>
  <c r="K1103" i="3"/>
  <c r="E1103" i="3"/>
  <c r="B1103" i="3"/>
  <c r="U1102" i="3"/>
  <c r="K1102" i="3"/>
  <c r="E1102" i="3"/>
  <c r="B1102" i="3"/>
  <c r="U1101" i="3"/>
  <c r="K1101" i="3"/>
  <c r="E1101" i="3"/>
  <c r="B1101" i="3"/>
  <c r="U1100" i="3"/>
  <c r="K1100" i="3"/>
  <c r="E1100" i="3"/>
  <c r="B1100" i="3"/>
  <c r="U1099" i="3"/>
  <c r="K1099" i="3"/>
  <c r="E1099" i="3"/>
  <c r="B1099" i="3"/>
  <c r="U1098" i="3"/>
  <c r="K1098" i="3"/>
  <c r="E1098" i="3"/>
  <c r="B1098" i="3"/>
  <c r="U1097" i="3"/>
  <c r="K1097" i="3"/>
  <c r="E1097" i="3"/>
  <c r="B1097" i="3"/>
  <c r="U1096" i="3"/>
  <c r="K1096" i="3"/>
  <c r="E1096" i="3"/>
  <c r="B1096" i="3"/>
  <c r="U1095" i="3"/>
  <c r="K1095" i="3"/>
  <c r="E1095" i="3"/>
  <c r="B1095" i="3"/>
  <c r="K1094" i="3"/>
  <c r="E1094" i="3"/>
  <c r="B1094" i="3"/>
  <c r="U1093" i="3"/>
  <c r="K1093" i="3"/>
  <c r="E1093" i="3"/>
  <c r="B1093" i="3"/>
  <c r="U1092" i="3"/>
  <c r="K1092" i="3"/>
  <c r="E1092" i="3"/>
  <c r="B1092" i="3"/>
  <c r="U1091" i="3"/>
  <c r="K1091" i="3"/>
  <c r="E1091" i="3"/>
  <c r="B1091" i="3"/>
  <c r="U1090" i="3"/>
  <c r="K1090" i="3"/>
  <c r="E1090" i="3"/>
  <c r="B1090" i="3"/>
  <c r="U1089" i="3"/>
  <c r="K1089" i="3"/>
  <c r="E1089" i="3"/>
  <c r="B1089" i="3"/>
  <c r="U1088" i="3"/>
  <c r="K1088" i="3"/>
  <c r="E1088" i="3"/>
  <c r="B1088" i="3"/>
  <c r="U1087" i="3"/>
  <c r="K1087" i="3"/>
  <c r="E1087" i="3"/>
  <c r="B1087" i="3"/>
  <c r="U1086" i="3"/>
  <c r="K1086" i="3"/>
  <c r="E1086" i="3"/>
  <c r="B1086" i="3"/>
  <c r="U1085" i="3"/>
  <c r="K1085" i="3"/>
  <c r="E1085" i="3"/>
  <c r="B1085" i="3"/>
  <c r="U1084" i="3"/>
  <c r="K1084" i="3"/>
  <c r="E1084" i="3"/>
  <c r="B1084" i="3"/>
  <c r="U1083" i="3"/>
  <c r="K1083" i="3"/>
  <c r="E1083" i="3"/>
  <c r="B1083" i="3"/>
  <c r="U1082" i="3"/>
  <c r="K1082" i="3"/>
  <c r="E1082" i="3"/>
  <c r="B1082" i="3"/>
  <c r="U1081" i="3"/>
  <c r="K1081" i="3"/>
  <c r="E1081" i="3"/>
  <c r="B1081" i="3"/>
  <c r="U1080" i="3"/>
  <c r="K1080" i="3"/>
  <c r="E1080" i="3"/>
  <c r="B1080" i="3"/>
  <c r="U1079" i="3"/>
  <c r="K1079" i="3"/>
  <c r="E1079" i="3"/>
  <c r="B1079" i="3"/>
  <c r="U1078" i="3"/>
  <c r="K1078" i="3"/>
  <c r="E1078" i="3"/>
  <c r="B1078" i="3"/>
  <c r="U1077" i="3"/>
  <c r="K1077" i="3"/>
  <c r="E1077" i="3"/>
  <c r="B1077" i="3"/>
  <c r="U1076" i="3"/>
  <c r="K1076" i="3"/>
  <c r="E1076" i="3"/>
  <c r="B1076" i="3"/>
  <c r="U1075" i="3"/>
  <c r="K1075" i="3"/>
  <c r="E1075" i="3"/>
  <c r="B1075" i="3"/>
  <c r="U1074" i="3"/>
  <c r="K1074" i="3"/>
  <c r="E1074" i="3"/>
  <c r="B1074" i="3"/>
  <c r="U1073" i="3"/>
  <c r="K1073" i="3"/>
  <c r="E1073" i="3"/>
  <c r="B1073" i="3"/>
  <c r="U1072" i="3"/>
  <c r="K1072" i="3"/>
  <c r="E1072" i="3"/>
  <c r="B1072" i="3"/>
  <c r="U1071" i="3"/>
  <c r="K1071" i="3"/>
  <c r="E1071" i="3"/>
  <c r="B1071" i="3"/>
  <c r="U1070" i="3"/>
  <c r="K1070" i="3"/>
  <c r="E1070" i="3"/>
  <c r="B1070" i="3"/>
  <c r="U1069" i="3"/>
  <c r="K1069" i="3"/>
  <c r="E1069" i="3"/>
  <c r="B1069" i="3"/>
  <c r="U1068" i="3"/>
  <c r="K1068" i="3"/>
  <c r="E1068" i="3"/>
  <c r="B1068" i="3"/>
  <c r="U1067" i="3"/>
  <c r="K1067" i="3"/>
  <c r="E1067" i="3"/>
  <c r="B1067" i="3"/>
  <c r="U1066" i="3"/>
  <c r="K1066" i="3"/>
  <c r="E1066" i="3"/>
  <c r="B1066" i="3"/>
  <c r="U1065" i="3"/>
  <c r="K1065" i="3"/>
  <c r="E1065" i="3"/>
  <c r="B1065" i="3"/>
  <c r="U1064" i="3"/>
  <c r="K1064" i="3"/>
  <c r="E1064" i="3"/>
  <c r="B1064" i="3"/>
  <c r="U1063" i="3"/>
  <c r="K1063" i="3"/>
  <c r="E1063" i="3"/>
  <c r="B1063" i="3"/>
  <c r="U1062" i="3"/>
  <c r="K1062" i="3"/>
  <c r="E1062" i="3"/>
  <c r="B1062" i="3"/>
  <c r="U1061" i="3"/>
  <c r="K1061" i="3"/>
  <c r="E1061" i="3"/>
  <c r="B1061" i="3"/>
  <c r="U1060" i="3"/>
  <c r="K1060" i="3"/>
  <c r="E1060" i="3"/>
  <c r="B1060" i="3"/>
  <c r="U1059" i="3"/>
  <c r="K1059" i="3"/>
  <c r="E1059" i="3"/>
  <c r="B1059" i="3"/>
  <c r="U1058" i="3"/>
  <c r="K1058" i="3"/>
  <c r="E1058" i="3"/>
  <c r="B1058" i="3"/>
  <c r="U1057" i="3"/>
  <c r="K1057" i="3"/>
  <c r="E1057" i="3"/>
  <c r="B1057" i="3"/>
  <c r="U1056" i="3"/>
  <c r="K1056" i="3"/>
  <c r="E1056" i="3"/>
  <c r="B1056" i="3"/>
  <c r="U1055" i="3"/>
  <c r="K1055" i="3"/>
  <c r="E1055" i="3"/>
  <c r="B1055" i="3"/>
  <c r="U1054" i="3"/>
  <c r="K1054" i="3"/>
  <c r="E1054" i="3"/>
  <c r="B1054" i="3"/>
  <c r="U1053" i="3"/>
  <c r="K1053" i="3"/>
  <c r="E1053" i="3"/>
  <c r="B1053" i="3"/>
  <c r="U1052" i="3"/>
  <c r="K1052" i="3"/>
  <c r="E1052" i="3"/>
  <c r="B1052" i="3"/>
  <c r="U1051" i="3"/>
  <c r="K1051" i="3"/>
  <c r="E1051" i="3"/>
  <c r="B1051" i="3"/>
  <c r="U1050" i="3"/>
  <c r="K1050" i="3"/>
  <c r="E1050" i="3"/>
  <c r="B1050" i="3"/>
  <c r="U1049" i="3"/>
  <c r="K1049" i="3"/>
  <c r="E1049" i="3"/>
  <c r="B1049" i="3"/>
  <c r="U1048" i="3"/>
  <c r="K1048" i="3"/>
  <c r="E1048" i="3"/>
  <c r="B1048" i="3"/>
  <c r="U1047" i="3"/>
  <c r="K1047" i="3"/>
  <c r="E1047" i="3"/>
  <c r="B1047" i="3"/>
  <c r="U1046" i="3"/>
  <c r="K1046" i="3"/>
  <c r="E1046" i="3"/>
  <c r="B1046" i="3"/>
  <c r="U1045" i="3"/>
  <c r="K1045" i="3"/>
  <c r="E1045" i="3"/>
  <c r="B1045" i="3"/>
  <c r="U1044" i="3"/>
  <c r="K1044" i="3"/>
  <c r="E1044" i="3"/>
  <c r="B1044" i="3"/>
  <c r="U1043" i="3"/>
  <c r="K1043" i="3"/>
  <c r="E1043" i="3"/>
  <c r="B1043" i="3"/>
  <c r="U1042" i="3"/>
  <c r="K1042" i="3"/>
  <c r="E1042" i="3"/>
  <c r="B1042" i="3"/>
  <c r="U1041" i="3"/>
  <c r="K1041" i="3"/>
  <c r="E1041" i="3"/>
  <c r="B1041" i="3"/>
  <c r="U1040" i="3"/>
  <c r="K1040" i="3"/>
  <c r="E1040" i="3"/>
  <c r="B1040" i="3"/>
  <c r="U1039" i="3"/>
  <c r="K1039" i="3"/>
  <c r="E1039" i="3"/>
  <c r="B1039" i="3"/>
  <c r="U1038" i="3"/>
  <c r="K1038" i="3"/>
  <c r="E1038" i="3"/>
  <c r="B1038" i="3"/>
  <c r="U1037" i="3"/>
  <c r="K1037" i="3"/>
  <c r="E1037" i="3"/>
  <c r="B1037" i="3"/>
  <c r="U1036" i="3"/>
  <c r="K1036" i="3"/>
  <c r="E1036" i="3"/>
  <c r="B1036" i="3"/>
  <c r="U1035" i="3"/>
  <c r="K1035" i="3"/>
  <c r="E1035" i="3"/>
  <c r="B1035" i="3"/>
  <c r="U1034" i="3"/>
  <c r="K1034" i="3"/>
  <c r="E1034" i="3"/>
  <c r="B1034" i="3"/>
  <c r="U1033" i="3"/>
  <c r="K1033" i="3"/>
  <c r="E1033" i="3"/>
  <c r="B1033" i="3"/>
  <c r="U1032" i="3"/>
  <c r="K1032" i="3"/>
  <c r="E1032" i="3"/>
  <c r="B1032" i="3"/>
  <c r="U1031" i="3"/>
  <c r="K1031" i="3"/>
  <c r="E1031" i="3"/>
  <c r="B1031" i="3"/>
  <c r="U1030" i="3"/>
  <c r="K1030" i="3"/>
  <c r="E1030" i="3"/>
  <c r="B1030" i="3"/>
  <c r="U1029" i="3"/>
  <c r="K1029" i="3"/>
  <c r="E1029" i="3"/>
  <c r="B1029" i="3"/>
  <c r="U1028" i="3"/>
  <c r="K1028" i="3"/>
  <c r="E1028" i="3"/>
  <c r="B1028" i="3"/>
  <c r="U1027" i="3"/>
  <c r="K1027" i="3"/>
  <c r="E1027" i="3"/>
  <c r="B1027" i="3"/>
  <c r="U1026" i="3"/>
  <c r="K1026" i="3"/>
  <c r="E1026" i="3"/>
  <c r="B1026" i="3"/>
  <c r="U1025" i="3"/>
  <c r="K1025" i="3"/>
  <c r="E1025" i="3"/>
  <c r="B1025" i="3"/>
  <c r="U1024" i="3"/>
  <c r="K1024" i="3"/>
  <c r="E1024" i="3"/>
  <c r="B1024" i="3"/>
  <c r="U1023" i="3"/>
  <c r="K1023" i="3"/>
  <c r="E1023" i="3"/>
  <c r="B1023" i="3"/>
  <c r="U1022" i="3"/>
  <c r="K1022" i="3"/>
  <c r="E1022" i="3"/>
  <c r="B1022" i="3"/>
  <c r="U1021" i="3"/>
  <c r="K1021" i="3"/>
  <c r="E1021" i="3"/>
  <c r="B1021" i="3"/>
  <c r="U1020" i="3"/>
  <c r="K1020" i="3"/>
  <c r="E1020" i="3"/>
  <c r="B1020" i="3"/>
  <c r="U1019" i="3"/>
  <c r="K1019" i="3"/>
  <c r="E1019" i="3"/>
  <c r="B1019" i="3"/>
  <c r="U1018" i="3"/>
  <c r="K1018" i="3"/>
  <c r="E1018" i="3"/>
  <c r="B1018" i="3"/>
  <c r="U1017" i="3"/>
  <c r="K1017" i="3"/>
  <c r="E1017" i="3"/>
  <c r="B1017" i="3"/>
  <c r="U1016" i="3"/>
  <c r="K1016" i="3"/>
  <c r="E1016" i="3"/>
  <c r="B1016" i="3"/>
  <c r="U1015" i="3"/>
  <c r="K1015" i="3"/>
  <c r="E1015" i="3"/>
  <c r="B1015" i="3"/>
  <c r="U1014" i="3"/>
  <c r="K1014" i="3"/>
  <c r="E1014" i="3"/>
  <c r="B1014" i="3"/>
  <c r="U1013" i="3"/>
  <c r="K1013" i="3"/>
  <c r="E1013" i="3"/>
  <c r="B1013" i="3"/>
  <c r="U1012" i="3"/>
  <c r="K1012" i="3"/>
  <c r="E1012" i="3"/>
  <c r="B1012" i="3"/>
  <c r="U1011" i="3"/>
  <c r="K1011" i="3"/>
  <c r="E1011" i="3"/>
  <c r="B1011" i="3"/>
  <c r="U1010" i="3"/>
  <c r="K1010" i="3"/>
  <c r="E1010" i="3"/>
  <c r="B1010" i="3"/>
  <c r="U1009" i="3"/>
  <c r="K1009" i="3"/>
  <c r="E1009" i="3"/>
  <c r="B1009" i="3"/>
  <c r="U1008" i="3"/>
  <c r="K1008" i="3"/>
  <c r="E1008" i="3"/>
  <c r="B1008" i="3"/>
  <c r="U1007" i="3"/>
  <c r="K1007" i="3"/>
  <c r="E1007" i="3"/>
  <c r="B1007" i="3"/>
  <c r="U1006" i="3"/>
  <c r="K1006" i="3"/>
  <c r="E1006" i="3"/>
  <c r="B1006" i="3"/>
  <c r="U1005" i="3"/>
  <c r="K1005" i="3"/>
  <c r="E1005" i="3"/>
  <c r="B1005" i="3"/>
  <c r="U1004" i="3"/>
  <c r="K1004" i="3"/>
  <c r="E1004" i="3"/>
  <c r="B1004" i="3"/>
  <c r="U1003" i="3"/>
  <c r="K1003" i="3"/>
  <c r="E1003" i="3"/>
  <c r="B1003" i="3"/>
  <c r="U1002" i="3"/>
  <c r="K1002" i="3"/>
  <c r="E1002" i="3"/>
  <c r="B1002" i="3"/>
  <c r="U1001" i="3"/>
  <c r="K1001" i="3"/>
  <c r="E1001" i="3"/>
  <c r="B1001" i="3"/>
  <c r="U1000" i="3"/>
  <c r="K1000" i="3"/>
  <c r="E1000" i="3"/>
  <c r="B1000" i="3"/>
  <c r="K999" i="3"/>
  <c r="E999" i="3"/>
  <c r="B999" i="3"/>
  <c r="U998" i="3"/>
  <c r="K998" i="3"/>
  <c r="E998" i="3"/>
  <c r="B998" i="3"/>
  <c r="U997" i="3"/>
  <c r="K997" i="3"/>
  <c r="E997" i="3"/>
  <c r="B997" i="3"/>
  <c r="U996" i="3"/>
  <c r="K996" i="3"/>
  <c r="E996" i="3"/>
  <c r="B996" i="3"/>
  <c r="U995" i="3"/>
  <c r="K995" i="3"/>
  <c r="E995" i="3"/>
  <c r="B995" i="3"/>
  <c r="U994" i="3"/>
  <c r="K994" i="3"/>
  <c r="E994" i="3"/>
  <c r="B994" i="3"/>
  <c r="U993" i="3"/>
  <c r="K993" i="3"/>
  <c r="E993" i="3"/>
  <c r="B993" i="3"/>
  <c r="U992" i="3"/>
  <c r="K992" i="3"/>
  <c r="E992" i="3"/>
  <c r="B992" i="3"/>
  <c r="U991" i="3"/>
  <c r="K991" i="3"/>
  <c r="E991" i="3"/>
  <c r="B991" i="3"/>
  <c r="U990" i="3"/>
  <c r="K990" i="3"/>
  <c r="E990" i="3"/>
  <c r="B990" i="3"/>
  <c r="U989" i="3"/>
  <c r="K989" i="3"/>
  <c r="E989" i="3"/>
  <c r="B989" i="3"/>
  <c r="U988" i="3"/>
  <c r="K988" i="3"/>
  <c r="E988" i="3"/>
  <c r="B988" i="3"/>
  <c r="U987" i="3"/>
  <c r="K987" i="3"/>
  <c r="E987" i="3"/>
  <c r="B987" i="3"/>
  <c r="U986" i="3"/>
  <c r="K986" i="3"/>
  <c r="E986" i="3"/>
  <c r="B986" i="3"/>
  <c r="U985" i="3"/>
  <c r="K985" i="3"/>
  <c r="E985" i="3"/>
  <c r="B985" i="3"/>
  <c r="U984" i="3"/>
  <c r="K984" i="3"/>
  <c r="E984" i="3"/>
  <c r="B984" i="3"/>
  <c r="U983" i="3"/>
  <c r="K983" i="3"/>
  <c r="E983" i="3"/>
  <c r="B983" i="3"/>
  <c r="U982" i="3"/>
  <c r="K982" i="3"/>
  <c r="E982" i="3"/>
  <c r="B982" i="3"/>
  <c r="U981" i="3"/>
  <c r="K981" i="3"/>
  <c r="E981" i="3"/>
  <c r="B981" i="3"/>
  <c r="U980" i="3"/>
  <c r="K980" i="3"/>
  <c r="E980" i="3"/>
  <c r="B980" i="3"/>
  <c r="U979" i="3"/>
  <c r="K979" i="3"/>
  <c r="E979" i="3"/>
  <c r="B979" i="3"/>
  <c r="U978" i="3"/>
  <c r="K978" i="3"/>
  <c r="E978" i="3"/>
  <c r="B978" i="3"/>
  <c r="U977" i="3"/>
  <c r="K977" i="3"/>
  <c r="E977" i="3"/>
  <c r="B977" i="3"/>
  <c r="U976" i="3"/>
  <c r="K976" i="3"/>
  <c r="E976" i="3"/>
  <c r="B976" i="3"/>
  <c r="U975" i="3"/>
  <c r="K975" i="3"/>
  <c r="E975" i="3"/>
  <c r="B975" i="3"/>
  <c r="U974" i="3"/>
  <c r="K974" i="3"/>
  <c r="E974" i="3"/>
  <c r="B974" i="3"/>
  <c r="U973" i="3"/>
  <c r="K973" i="3"/>
  <c r="E973" i="3"/>
  <c r="B973" i="3"/>
  <c r="U972" i="3"/>
  <c r="K972" i="3"/>
  <c r="E972" i="3"/>
  <c r="B972" i="3"/>
  <c r="K971" i="3"/>
  <c r="E971" i="3"/>
  <c r="B971" i="3"/>
  <c r="U970" i="3"/>
  <c r="K970" i="3"/>
  <c r="E970" i="3"/>
  <c r="B970" i="3"/>
  <c r="U969" i="3"/>
  <c r="K969" i="3"/>
  <c r="E969" i="3"/>
  <c r="B969" i="3"/>
  <c r="U968" i="3"/>
  <c r="K968" i="3"/>
  <c r="E968" i="3"/>
  <c r="B968" i="3"/>
  <c r="U967" i="3"/>
  <c r="K967" i="3"/>
  <c r="E967" i="3"/>
  <c r="B967" i="3"/>
  <c r="U966" i="3"/>
  <c r="K966" i="3"/>
  <c r="E966" i="3"/>
  <c r="B966" i="3"/>
  <c r="U965" i="3"/>
  <c r="K965" i="3"/>
  <c r="E965" i="3"/>
  <c r="B965" i="3"/>
  <c r="U964" i="3"/>
  <c r="K964" i="3"/>
  <c r="E964" i="3"/>
  <c r="B964" i="3"/>
  <c r="U963" i="3"/>
  <c r="K963" i="3"/>
  <c r="E963" i="3"/>
  <c r="B963" i="3"/>
  <c r="U962" i="3"/>
  <c r="K962" i="3"/>
  <c r="E962" i="3"/>
  <c r="B962" i="3"/>
  <c r="U961" i="3"/>
  <c r="K961" i="3"/>
  <c r="E961" i="3"/>
  <c r="B961" i="3"/>
  <c r="U960" i="3"/>
  <c r="K960" i="3"/>
  <c r="E960" i="3"/>
  <c r="B960" i="3"/>
  <c r="U959" i="3"/>
  <c r="K959" i="3"/>
  <c r="E959" i="3"/>
  <c r="B959" i="3"/>
  <c r="U958" i="3"/>
  <c r="K958" i="3"/>
  <c r="E958" i="3"/>
  <c r="B958" i="3"/>
  <c r="U957" i="3"/>
  <c r="K957" i="3"/>
  <c r="E957" i="3"/>
  <c r="B957" i="3"/>
  <c r="U956" i="3"/>
  <c r="K956" i="3"/>
  <c r="E956" i="3"/>
  <c r="B956" i="3"/>
  <c r="U955" i="3"/>
  <c r="K955" i="3"/>
  <c r="E955" i="3"/>
  <c r="B955" i="3"/>
  <c r="U954" i="3"/>
  <c r="K954" i="3"/>
  <c r="E954" i="3"/>
  <c r="B954" i="3"/>
  <c r="U953" i="3"/>
  <c r="K953" i="3"/>
  <c r="E953" i="3"/>
  <c r="B953" i="3"/>
  <c r="U952" i="3"/>
  <c r="K952" i="3"/>
  <c r="E952" i="3"/>
  <c r="B952" i="3"/>
  <c r="U951" i="3"/>
  <c r="K951" i="3"/>
  <c r="E951" i="3"/>
  <c r="B951" i="3"/>
  <c r="U950" i="3"/>
  <c r="K950" i="3"/>
  <c r="E950" i="3"/>
  <c r="B950" i="3"/>
  <c r="U949" i="3"/>
  <c r="K949" i="3"/>
  <c r="E949" i="3"/>
  <c r="B949" i="3"/>
  <c r="U948" i="3"/>
  <c r="K948" i="3"/>
  <c r="E948" i="3"/>
  <c r="B948" i="3"/>
  <c r="U947" i="3"/>
  <c r="K947" i="3"/>
  <c r="E947" i="3"/>
  <c r="B947" i="3"/>
  <c r="U946" i="3"/>
  <c r="K946" i="3"/>
  <c r="E946" i="3"/>
  <c r="B946" i="3"/>
  <c r="U945" i="3"/>
  <c r="K945" i="3"/>
  <c r="E945" i="3"/>
  <c r="B945" i="3"/>
  <c r="U944" i="3"/>
  <c r="K944" i="3"/>
  <c r="E944" i="3"/>
  <c r="B944" i="3"/>
  <c r="U943" i="3"/>
  <c r="K943" i="3"/>
  <c r="E943" i="3"/>
  <c r="B943" i="3"/>
  <c r="U942" i="3"/>
  <c r="K942" i="3"/>
  <c r="E942" i="3"/>
  <c r="B942" i="3"/>
  <c r="U941" i="3"/>
  <c r="K941" i="3"/>
  <c r="E941" i="3"/>
  <c r="B941" i="3"/>
  <c r="U940" i="3"/>
  <c r="K940" i="3"/>
  <c r="E940" i="3"/>
  <c r="B940" i="3"/>
  <c r="U939" i="3"/>
  <c r="K939" i="3"/>
  <c r="E939" i="3"/>
  <c r="B939" i="3"/>
  <c r="U938" i="3"/>
  <c r="K938" i="3"/>
  <c r="E938" i="3"/>
  <c r="B938" i="3"/>
  <c r="U937" i="3"/>
  <c r="K937" i="3"/>
  <c r="E937" i="3"/>
  <c r="B937" i="3"/>
  <c r="U936" i="3"/>
  <c r="K936" i="3"/>
  <c r="E936" i="3"/>
  <c r="B936" i="3"/>
  <c r="U935" i="3"/>
  <c r="K935" i="3"/>
  <c r="E935" i="3"/>
  <c r="B935" i="3"/>
  <c r="U934" i="3"/>
  <c r="K934" i="3"/>
  <c r="E934" i="3"/>
  <c r="B934" i="3"/>
  <c r="U933" i="3"/>
  <c r="K933" i="3"/>
  <c r="E933" i="3"/>
  <c r="B933" i="3"/>
  <c r="U932" i="3"/>
  <c r="K932" i="3"/>
  <c r="E932" i="3"/>
  <c r="B932" i="3"/>
  <c r="U931" i="3"/>
  <c r="K931" i="3"/>
  <c r="E931" i="3"/>
  <c r="B931" i="3"/>
  <c r="U930" i="3"/>
  <c r="K930" i="3"/>
  <c r="E930" i="3"/>
  <c r="B930" i="3"/>
  <c r="U929" i="3"/>
  <c r="K929" i="3"/>
  <c r="E929" i="3"/>
  <c r="B929" i="3"/>
  <c r="U928" i="3"/>
  <c r="K928" i="3"/>
  <c r="E928" i="3"/>
  <c r="B928" i="3"/>
  <c r="U927" i="3"/>
  <c r="K927" i="3"/>
  <c r="E927" i="3"/>
  <c r="B927" i="3"/>
  <c r="U926" i="3"/>
  <c r="K926" i="3"/>
  <c r="E926" i="3"/>
  <c r="B926" i="3"/>
  <c r="U925" i="3"/>
  <c r="K925" i="3"/>
  <c r="E925" i="3"/>
  <c r="B925" i="3"/>
  <c r="U924" i="3"/>
  <c r="K924" i="3"/>
  <c r="E924" i="3"/>
  <c r="B924" i="3"/>
  <c r="U923" i="3"/>
  <c r="K923" i="3"/>
  <c r="E923" i="3"/>
  <c r="B923" i="3"/>
  <c r="U922" i="3"/>
  <c r="K922" i="3"/>
  <c r="E922" i="3"/>
  <c r="B922" i="3"/>
  <c r="U921" i="3"/>
  <c r="K921" i="3"/>
  <c r="E921" i="3"/>
  <c r="B921" i="3"/>
  <c r="U920" i="3"/>
  <c r="K920" i="3"/>
  <c r="E920" i="3"/>
  <c r="B920" i="3"/>
  <c r="U919" i="3"/>
  <c r="K919" i="3"/>
  <c r="E919" i="3"/>
  <c r="B919" i="3"/>
  <c r="U918" i="3"/>
  <c r="K918" i="3"/>
  <c r="E918" i="3"/>
  <c r="B918" i="3"/>
  <c r="U917" i="3"/>
  <c r="K917" i="3"/>
  <c r="E917" i="3"/>
  <c r="B917" i="3"/>
  <c r="U916" i="3"/>
  <c r="K916" i="3"/>
  <c r="E916" i="3"/>
  <c r="B916" i="3"/>
  <c r="U915" i="3"/>
  <c r="K915" i="3"/>
  <c r="E915" i="3"/>
  <c r="B915" i="3"/>
  <c r="U914" i="3"/>
  <c r="K914" i="3"/>
  <c r="E914" i="3"/>
  <c r="B914" i="3"/>
  <c r="U913" i="3"/>
  <c r="K913" i="3"/>
  <c r="E913" i="3"/>
  <c r="B913" i="3"/>
  <c r="U912" i="3"/>
  <c r="K912" i="3"/>
  <c r="E912" i="3"/>
  <c r="B912" i="3"/>
  <c r="U911" i="3"/>
  <c r="K911" i="3"/>
  <c r="E911" i="3"/>
  <c r="B911" i="3"/>
  <c r="U910" i="3"/>
  <c r="K910" i="3"/>
  <c r="E910" i="3"/>
  <c r="B910" i="3"/>
  <c r="U909" i="3"/>
  <c r="K909" i="3"/>
  <c r="E909" i="3"/>
  <c r="B909" i="3"/>
  <c r="U908" i="3"/>
  <c r="K908" i="3"/>
  <c r="E908" i="3"/>
  <c r="B908" i="3"/>
  <c r="U907" i="3"/>
  <c r="K907" i="3"/>
  <c r="E907" i="3"/>
  <c r="B907" i="3"/>
  <c r="U906" i="3"/>
  <c r="K906" i="3"/>
  <c r="E906" i="3"/>
  <c r="B906" i="3"/>
  <c r="U905" i="3"/>
  <c r="K905" i="3"/>
  <c r="E905" i="3"/>
  <c r="B905" i="3"/>
  <c r="U904" i="3"/>
  <c r="K904" i="3"/>
  <c r="E904" i="3"/>
  <c r="B904" i="3"/>
  <c r="U903" i="3"/>
  <c r="K903" i="3"/>
  <c r="E903" i="3"/>
  <c r="B903" i="3"/>
  <c r="U902" i="3"/>
  <c r="K902" i="3"/>
  <c r="E902" i="3"/>
  <c r="B902" i="3"/>
  <c r="U901" i="3"/>
  <c r="K901" i="3"/>
  <c r="E901" i="3"/>
  <c r="B901" i="3"/>
  <c r="U900" i="3"/>
  <c r="K900" i="3"/>
  <c r="E900" i="3"/>
  <c r="B900" i="3"/>
  <c r="U899" i="3"/>
  <c r="K899" i="3"/>
  <c r="E899" i="3"/>
  <c r="B899" i="3"/>
  <c r="U898" i="3"/>
  <c r="K898" i="3"/>
  <c r="E898" i="3"/>
  <c r="B898" i="3"/>
  <c r="U897" i="3"/>
  <c r="K897" i="3"/>
  <c r="E897" i="3"/>
  <c r="B897" i="3"/>
  <c r="U896" i="3"/>
  <c r="K896" i="3"/>
  <c r="E896" i="3"/>
  <c r="B896" i="3"/>
  <c r="U895" i="3"/>
  <c r="K895" i="3"/>
  <c r="E895" i="3"/>
  <c r="B895" i="3"/>
  <c r="U894" i="3"/>
  <c r="K894" i="3"/>
  <c r="E894" i="3"/>
  <c r="B894" i="3"/>
  <c r="U893" i="3"/>
  <c r="K893" i="3"/>
  <c r="E893" i="3"/>
  <c r="B893" i="3"/>
  <c r="U892" i="3"/>
  <c r="K892" i="3"/>
  <c r="E892" i="3"/>
  <c r="B892" i="3"/>
  <c r="U891" i="3"/>
  <c r="K891" i="3"/>
  <c r="E891" i="3"/>
  <c r="B891" i="3"/>
  <c r="U890" i="3"/>
  <c r="K890" i="3"/>
  <c r="E890" i="3"/>
  <c r="B890" i="3"/>
  <c r="U889" i="3"/>
  <c r="K889" i="3"/>
  <c r="E889" i="3"/>
  <c r="B889" i="3"/>
  <c r="U888" i="3"/>
  <c r="K888" i="3"/>
  <c r="E888" i="3"/>
  <c r="B888" i="3"/>
  <c r="U887" i="3"/>
  <c r="K887" i="3"/>
  <c r="E887" i="3"/>
  <c r="B887" i="3"/>
  <c r="U886" i="3"/>
  <c r="K886" i="3"/>
  <c r="E886" i="3"/>
  <c r="B886" i="3"/>
  <c r="U885" i="3"/>
  <c r="K885" i="3"/>
  <c r="E885" i="3"/>
  <c r="B885" i="3"/>
  <c r="U884" i="3"/>
  <c r="K884" i="3"/>
  <c r="E884" i="3"/>
  <c r="B884" i="3"/>
  <c r="U883" i="3"/>
  <c r="K883" i="3"/>
  <c r="E883" i="3"/>
  <c r="B883" i="3"/>
  <c r="U882" i="3"/>
  <c r="K882" i="3"/>
  <c r="E882" i="3"/>
  <c r="B882" i="3"/>
  <c r="U881" i="3"/>
  <c r="K881" i="3"/>
  <c r="E881" i="3"/>
  <c r="B881" i="3"/>
  <c r="U880" i="3"/>
  <c r="K880" i="3"/>
  <c r="E880" i="3"/>
  <c r="B880" i="3"/>
  <c r="U879" i="3"/>
  <c r="K879" i="3"/>
  <c r="E879" i="3"/>
  <c r="B879" i="3"/>
  <c r="U878" i="3"/>
  <c r="K878" i="3"/>
  <c r="E878" i="3"/>
  <c r="B878" i="3"/>
  <c r="U877" i="3"/>
  <c r="K877" i="3"/>
  <c r="E877" i="3"/>
  <c r="B877" i="3"/>
  <c r="U876" i="3"/>
  <c r="K876" i="3"/>
  <c r="E876" i="3"/>
  <c r="B876" i="3"/>
  <c r="U875" i="3"/>
  <c r="K875" i="3"/>
  <c r="E875" i="3"/>
  <c r="B875" i="3"/>
  <c r="U874" i="3"/>
  <c r="K874" i="3"/>
  <c r="E874" i="3"/>
  <c r="B874" i="3"/>
  <c r="U873" i="3"/>
  <c r="K873" i="3"/>
  <c r="E873" i="3"/>
  <c r="B873" i="3"/>
  <c r="U872" i="3"/>
  <c r="K872" i="3"/>
  <c r="E872" i="3"/>
  <c r="B872" i="3"/>
  <c r="U871" i="3"/>
  <c r="K871" i="3"/>
  <c r="E871" i="3"/>
  <c r="B871" i="3"/>
  <c r="U870" i="3"/>
  <c r="K870" i="3"/>
  <c r="E870" i="3"/>
  <c r="B870" i="3"/>
  <c r="U869" i="3"/>
  <c r="K869" i="3"/>
  <c r="E869" i="3"/>
  <c r="B869" i="3"/>
  <c r="U868" i="3"/>
  <c r="K868" i="3"/>
  <c r="E868" i="3"/>
  <c r="B868" i="3"/>
  <c r="U867" i="3"/>
  <c r="K867" i="3"/>
  <c r="E867" i="3"/>
  <c r="B867" i="3"/>
  <c r="U866" i="3"/>
  <c r="K866" i="3"/>
  <c r="E866" i="3"/>
  <c r="B866" i="3"/>
  <c r="U865" i="3"/>
  <c r="K865" i="3"/>
  <c r="E865" i="3"/>
  <c r="B865" i="3"/>
  <c r="U864" i="3"/>
  <c r="K864" i="3"/>
  <c r="E864" i="3"/>
  <c r="B864" i="3"/>
  <c r="U863" i="3"/>
  <c r="K863" i="3"/>
  <c r="E863" i="3"/>
  <c r="B863" i="3"/>
  <c r="U862" i="3"/>
  <c r="K862" i="3"/>
  <c r="E862" i="3"/>
  <c r="B862" i="3"/>
  <c r="U861" i="3"/>
  <c r="K861" i="3"/>
  <c r="E861" i="3"/>
  <c r="B861" i="3"/>
  <c r="U860" i="3"/>
  <c r="K860" i="3"/>
  <c r="E860" i="3"/>
  <c r="B860" i="3"/>
  <c r="U859" i="3"/>
  <c r="K859" i="3"/>
  <c r="E859" i="3"/>
  <c r="B859" i="3"/>
  <c r="U858" i="3"/>
  <c r="K858" i="3"/>
  <c r="E858" i="3"/>
  <c r="B858" i="3"/>
  <c r="U857" i="3"/>
  <c r="K857" i="3"/>
  <c r="E857" i="3"/>
  <c r="B857" i="3"/>
  <c r="U856" i="3"/>
  <c r="K856" i="3"/>
  <c r="E856" i="3"/>
  <c r="B856" i="3"/>
  <c r="U855" i="3"/>
  <c r="K855" i="3"/>
  <c r="E855" i="3"/>
  <c r="B855" i="3"/>
  <c r="U854" i="3"/>
  <c r="K854" i="3"/>
  <c r="E854" i="3"/>
  <c r="B854" i="3"/>
  <c r="U853" i="3"/>
  <c r="K853" i="3"/>
  <c r="E853" i="3"/>
  <c r="B853" i="3"/>
  <c r="U852" i="3"/>
  <c r="K852" i="3"/>
  <c r="E852" i="3"/>
  <c r="B852" i="3"/>
  <c r="U851" i="3"/>
  <c r="K851" i="3"/>
  <c r="E851" i="3"/>
  <c r="B851" i="3"/>
  <c r="U850" i="3"/>
  <c r="K850" i="3"/>
  <c r="E850" i="3"/>
  <c r="B850" i="3"/>
  <c r="U849" i="3"/>
  <c r="K849" i="3"/>
  <c r="E849" i="3"/>
  <c r="B849" i="3"/>
  <c r="U848" i="3"/>
  <c r="K848" i="3"/>
  <c r="E848" i="3"/>
  <c r="B848" i="3"/>
  <c r="U847" i="3"/>
  <c r="K847" i="3"/>
  <c r="E847" i="3"/>
  <c r="B847" i="3"/>
  <c r="U846" i="3"/>
  <c r="K846" i="3"/>
  <c r="E846" i="3"/>
  <c r="B846" i="3"/>
  <c r="U845" i="3"/>
  <c r="K845" i="3"/>
  <c r="E845" i="3"/>
  <c r="B845" i="3"/>
  <c r="U844" i="3"/>
  <c r="K844" i="3"/>
  <c r="E844" i="3"/>
  <c r="B844" i="3"/>
  <c r="U843" i="3"/>
  <c r="K843" i="3"/>
  <c r="E843" i="3"/>
  <c r="B843" i="3"/>
  <c r="U842" i="3"/>
  <c r="K842" i="3"/>
  <c r="E842" i="3"/>
  <c r="B842" i="3"/>
  <c r="U841" i="3"/>
  <c r="K841" i="3"/>
  <c r="E841" i="3"/>
  <c r="B841" i="3"/>
  <c r="U840" i="3"/>
  <c r="K840" i="3"/>
  <c r="E840" i="3"/>
  <c r="B840" i="3"/>
  <c r="U839" i="3"/>
  <c r="K839" i="3"/>
  <c r="E839" i="3"/>
  <c r="B839" i="3"/>
  <c r="U838" i="3"/>
  <c r="K838" i="3"/>
  <c r="E838" i="3"/>
  <c r="B838" i="3"/>
  <c r="U837" i="3"/>
  <c r="K837" i="3"/>
  <c r="E837" i="3"/>
  <c r="B837" i="3"/>
  <c r="U836" i="3"/>
  <c r="K836" i="3"/>
  <c r="E836" i="3"/>
  <c r="B836" i="3"/>
  <c r="U835" i="3"/>
  <c r="K835" i="3"/>
  <c r="E835" i="3"/>
  <c r="B835" i="3"/>
  <c r="U834" i="3"/>
  <c r="K834" i="3"/>
  <c r="E834" i="3"/>
  <c r="B834" i="3"/>
  <c r="U833" i="3"/>
  <c r="K833" i="3"/>
  <c r="E833" i="3"/>
  <c r="B833" i="3"/>
  <c r="U832" i="3"/>
  <c r="K832" i="3"/>
  <c r="E832" i="3"/>
  <c r="B832" i="3"/>
  <c r="U831" i="3"/>
  <c r="K831" i="3"/>
  <c r="E831" i="3"/>
  <c r="B831" i="3"/>
  <c r="U830" i="3"/>
  <c r="K830" i="3"/>
  <c r="E830" i="3"/>
  <c r="B830" i="3"/>
  <c r="U829" i="3"/>
  <c r="K829" i="3"/>
  <c r="E829" i="3"/>
  <c r="B829" i="3"/>
  <c r="U828" i="3"/>
  <c r="K828" i="3"/>
  <c r="E828" i="3"/>
  <c r="B828" i="3"/>
  <c r="U827" i="3"/>
  <c r="K827" i="3"/>
  <c r="E827" i="3"/>
  <c r="B827" i="3"/>
  <c r="U826" i="3"/>
  <c r="K826" i="3"/>
  <c r="E826" i="3"/>
  <c r="B826" i="3"/>
  <c r="U825" i="3"/>
  <c r="K825" i="3"/>
  <c r="E825" i="3"/>
  <c r="B825" i="3"/>
  <c r="U824" i="3"/>
  <c r="K824" i="3"/>
  <c r="E824" i="3"/>
  <c r="B824" i="3"/>
  <c r="U823" i="3"/>
  <c r="K823" i="3"/>
  <c r="E823" i="3"/>
  <c r="B823" i="3"/>
  <c r="U822" i="3"/>
  <c r="K822" i="3"/>
  <c r="E822" i="3"/>
  <c r="B822" i="3"/>
  <c r="U821" i="3"/>
  <c r="K821" i="3"/>
  <c r="E821" i="3"/>
  <c r="B821" i="3"/>
  <c r="U820" i="3"/>
  <c r="K820" i="3"/>
  <c r="E820" i="3"/>
  <c r="B820" i="3"/>
  <c r="U819" i="3"/>
  <c r="K819" i="3"/>
  <c r="E819" i="3"/>
  <c r="B819" i="3"/>
  <c r="U818" i="3"/>
  <c r="K818" i="3"/>
  <c r="E818" i="3"/>
  <c r="B818" i="3"/>
  <c r="U817" i="3"/>
  <c r="K817" i="3"/>
  <c r="E817" i="3"/>
  <c r="B817" i="3"/>
  <c r="U816" i="3"/>
  <c r="K816" i="3"/>
  <c r="E816" i="3"/>
  <c r="B816" i="3"/>
  <c r="U815" i="3"/>
  <c r="K815" i="3"/>
  <c r="E815" i="3"/>
  <c r="B815" i="3"/>
  <c r="U814" i="3"/>
  <c r="K814" i="3"/>
  <c r="E814" i="3"/>
  <c r="B814" i="3"/>
  <c r="U813" i="3"/>
  <c r="K813" i="3"/>
  <c r="E813" i="3"/>
  <c r="B813" i="3"/>
  <c r="U812" i="3"/>
  <c r="K812" i="3"/>
  <c r="E812" i="3"/>
  <c r="B812" i="3"/>
  <c r="U811" i="3"/>
  <c r="K811" i="3"/>
  <c r="E811" i="3"/>
  <c r="B811" i="3"/>
  <c r="U810" i="3"/>
  <c r="K810" i="3"/>
  <c r="E810" i="3"/>
  <c r="B810" i="3"/>
  <c r="U809" i="3"/>
  <c r="K809" i="3"/>
  <c r="E809" i="3"/>
  <c r="B809" i="3"/>
  <c r="U808" i="3"/>
  <c r="K808" i="3"/>
  <c r="E808" i="3"/>
  <c r="B808" i="3"/>
  <c r="U807" i="3"/>
  <c r="K807" i="3"/>
  <c r="E807" i="3"/>
  <c r="B807" i="3"/>
  <c r="U806" i="3"/>
  <c r="K806" i="3"/>
  <c r="E806" i="3"/>
  <c r="B806" i="3"/>
  <c r="U805" i="3"/>
  <c r="K805" i="3"/>
  <c r="E805" i="3"/>
  <c r="B805" i="3"/>
  <c r="U804" i="3"/>
  <c r="K804" i="3"/>
  <c r="E804" i="3"/>
  <c r="B804" i="3"/>
  <c r="U803" i="3"/>
  <c r="K803" i="3"/>
  <c r="E803" i="3"/>
  <c r="B803" i="3"/>
  <c r="U802" i="3"/>
  <c r="K802" i="3"/>
  <c r="E802" i="3"/>
  <c r="B802" i="3"/>
  <c r="U801" i="3"/>
  <c r="K801" i="3"/>
  <c r="E801" i="3"/>
  <c r="B801" i="3"/>
  <c r="U800" i="3"/>
  <c r="K800" i="3"/>
  <c r="E800" i="3"/>
  <c r="B800" i="3"/>
  <c r="U799" i="3"/>
  <c r="K799" i="3"/>
  <c r="E799" i="3"/>
  <c r="B799" i="3"/>
  <c r="U798" i="3"/>
  <c r="K798" i="3"/>
  <c r="E798" i="3"/>
  <c r="B798" i="3"/>
  <c r="K797" i="3"/>
  <c r="E797" i="3"/>
  <c r="B797" i="3"/>
  <c r="U796" i="3"/>
  <c r="K796" i="3"/>
  <c r="E796" i="3"/>
  <c r="B796" i="3"/>
  <c r="U795" i="3"/>
  <c r="K795" i="3"/>
  <c r="E795" i="3"/>
  <c r="B795" i="3"/>
  <c r="U794" i="3"/>
  <c r="K794" i="3"/>
  <c r="E794" i="3"/>
  <c r="B794" i="3"/>
  <c r="U793" i="3"/>
  <c r="K793" i="3"/>
  <c r="E793" i="3"/>
  <c r="B793" i="3"/>
  <c r="U792" i="3"/>
  <c r="K792" i="3"/>
  <c r="E792" i="3"/>
  <c r="B792" i="3"/>
  <c r="U791" i="3"/>
  <c r="K791" i="3"/>
  <c r="E791" i="3"/>
  <c r="B791" i="3"/>
  <c r="U790" i="3"/>
  <c r="K790" i="3"/>
  <c r="E790" i="3"/>
  <c r="B790" i="3"/>
  <c r="U789" i="3"/>
  <c r="K789" i="3"/>
  <c r="E789" i="3"/>
  <c r="B789" i="3"/>
  <c r="U788" i="3"/>
  <c r="K788" i="3"/>
  <c r="E788" i="3"/>
  <c r="B788" i="3"/>
  <c r="U787" i="3"/>
  <c r="K787" i="3"/>
  <c r="E787" i="3"/>
  <c r="B787" i="3"/>
  <c r="U786" i="3"/>
  <c r="K786" i="3"/>
  <c r="E786" i="3"/>
  <c r="B786" i="3"/>
  <c r="U785" i="3"/>
  <c r="K785" i="3"/>
  <c r="E785" i="3"/>
  <c r="B785" i="3"/>
  <c r="U784" i="3"/>
  <c r="K784" i="3"/>
  <c r="E784" i="3"/>
  <c r="B784" i="3"/>
  <c r="U783" i="3"/>
  <c r="K783" i="3"/>
  <c r="E783" i="3"/>
  <c r="B783" i="3"/>
  <c r="U782" i="3"/>
  <c r="K782" i="3"/>
  <c r="E782" i="3"/>
  <c r="B782" i="3"/>
  <c r="U781" i="3"/>
  <c r="K781" i="3"/>
  <c r="E781" i="3"/>
  <c r="B781" i="3"/>
  <c r="U780" i="3"/>
  <c r="K780" i="3"/>
  <c r="E780" i="3"/>
  <c r="B780" i="3"/>
  <c r="U779" i="3"/>
  <c r="K779" i="3"/>
  <c r="H779" i="3"/>
  <c r="E779" i="3"/>
  <c r="B779" i="3"/>
  <c r="U778" i="3"/>
  <c r="K778" i="3"/>
  <c r="E778" i="3"/>
  <c r="B778" i="3"/>
  <c r="U777" i="3"/>
  <c r="K777" i="3"/>
  <c r="E777" i="3"/>
  <c r="B777" i="3"/>
  <c r="U776" i="3"/>
  <c r="K776" i="3"/>
  <c r="E776" i="3"/>
  <c r="B776" i="3"/>
  <c r="U775" i="3"/>
  <c r="K775" i="3"/>
  <c r="E775" i="3"/>
  <c r="B775" i="3"/>
  <c r="U774" i="3"/>
  <c r="K774" i="3"/>
  <c r="E774" i="3"/>
  <c r="B774" i="3"/>
  <c r="U773" i="3"/>
  <c r="K773" i="3"/>
  <c r="E773" i="3"/>
  <c r="B773" i="3"/>
  <c r="U772" i="3"/>
  <c r="K772" i="3"/>
  <c r="E772" i="3"/>
  <c r="B772" i="3"/>
  <c r="U771" i="3"/>
  <c r="K771" i="3"/>
  <c r="E771" i="3"/>
  <c r="B771" i="3"/>
  <c r="U770" i="3"/>
  <c r="K770" i="3"/>
  <c r="E770" i="3"/>
  <c r="B770" i="3"/>
  <c r="U769" i="3"/>
  <c r="K769" i="3"/>
  <c r="E769" i="3"/>
  <c r="B769" i="3"/>
  <c r="U768" i="3"/>
  <c r="K768" i="3"/>
  <c r="E768" i="3"/>
  <c r="B768" i="3"/>
  <c r="U767" i="3"/>
  <c r="K767" i="3"/>
  <c r="E767" i="3"/>
  <c r="B767" i="3"/>
  <c r="U766" i="3"/>
  <c r="K766" i="3"/>
  <c r="E766" i="3"/>
  <c r="B766" i="3"/>
  <c r="U765" i="3"/>
  <c r="K765" i="3"/>
  <c r="E765" i="3"/>
  <c r="B765" i="3"/>
  <c r="U764" i="3"/>
  <c r="K764" i="3"/>
  <c r="E764" i="3"/>
  <c r="B764" i="3"/>
  <c r="U763" i="3"/>
  <c r="K763" i="3"/>
  <c r="E763" i="3"/>
  <c r="B763" i="3"/>
  <c r="U762" i="3"/>
  <c r="K762" i="3"/>
  <c r="E762" i="3"/>
  <c r="B762" i="3"/>
  <c r="U761" i="3"/>
  <c r="K761" i="3"/>
  <c r="E761" i="3"/>
  <c r="B761" i="3"/>
  <c r="U760" i="3"/>
  <c r="K760" i="3"/>
  <c r="E760" i="3"/>
  <c r="B760" i="3"/>
  <c r="U759" i="3"/>
  <c r="K759" i="3"/>
  <c r="E759" i="3"/>
  <c r="B759" i="3"/>
  <c r="U758" i="3"/>
  <c r="K758" i="3"/>
  <c r="E758" i="3"/>
  <c r="B758" i="3"/>
  <c r="U757" i="3"/>
  <c r="K757" i="3"/>
  <c r="E757" i="3"/>
  <c r="B757" i="3"/>
  <c r="U756" i="3"/>
  <c r="K756" i="3"/>
  <c r="E756" i="3"/>
  <c r="B756" i="3"/>
  <c r="U755" i="3"/>
  <c r="K755" i="3"/>
  <c r="E755" i="3"/>
  <c r="B755" i="3"/>
  <c r="U754" i="3"/>
  <c r="K754" i="3"/>
  <c r="E754" i="3"/>
  <c r="B754" i="3"/>
  <c r="U753" i="3"/>
  <c r="K753" i="3"/>
  <c r="E753" i="3"/>
  <c r="B753" i="3"/>
  <c r="U752" i="3"/>
  <c r="K752" i="3"/>
  <c r="E752" i="3"/>
  <c r="B752" i="3"/>
  <c r="U751" i="3"/>
  <c r="K751" i="3"/>
  <c r="E751" i="3"/>
  <c r="B751" i="3"/>
  <c r="U750" i="3"/>
  <c r="K750" i="3"/>
  <c r="E750" i="3"/>
  <c r="B750" i="3"/>
  <c r="U749" i="3"/>
  <c r="K749" i="3"/>
  <c r="E749" i="3"/>
  <c r="B749" i="3"/>
  <c r="U748" i="3"/>
  <c r="K748" i="3"/>
  <c r="E748" i="3"/>
  <c r="B748" i="3"/>
  <c r="U747" i="3"/>
  <c r="K747" i="3"/>
  <c r="E747" i="3"/>
  <c r="B747" i="3"/>
  <c r="U746" i="3"/>
  <c r="K746" i="3"/>
  <c r="E746" i="3"/>
  <c r="B746" i="3"/>
  <c r="U745" i="3"/>
  <c r="K745" i="3"/>
  <c r="E745" i="3"/>
  <c r="B745" i="3"/>
  <c r="U744" i="3"/>
  <c r="K744" i="3"/>
  <c r="E744" i="3"/>
  <c r="B744" i="3"/>
  <c r="U743" i="3"/>
  <c r="K743" i="3"/>
  <c r="E743" i="3"/>
  <c r="B743" i="3"/>
  <c r="U742" i="3"/>
  <c r="K742" i="3"/>
  <c r="E742" i="3"/>
  <c r="B742" i="3"/>
  <c r="U741" i="3"/>
  <c r="K741" i="3"/>
  <c r="E741" i="3"/>
  <c r="B741" i="3"/>
  <c r="U740" i="3"/>
  <c r="K740" i="3"/>
  <c r="E740" i="3"/>
  <c r="B740" i="3"/>
  <c r="U739" i="3"/>
  <c r="K739" i="3"/>
  <c r="E739" i="3"/>
  <c r="B739" i="3"/>
  <c r="U738" i="3"/>
  <c r="K738" i="3"/>
  <c r="E738" i="3"/>
  <c r="B738" i="3"/>
  <c r="U737" i="3"/>
  <c r="K737" i="3"/>
  <c r="E737" i="3"/>
  <c r="B737" i="3"/>
  <c r="U736" i="3"/>
  <c r="K736" i="3"/>
  <c r="E736" i="3"/>
  <c r="B736" i="3"/>
  <c r="U735" i="3"/>
  <c r="K735" i="3"/>
  <c r="E735" i="3"/>
  <c r="B735" i="3"/>
  <c r="U734" i="3"/>
  <c r="K734" i="3"/>
  <c r="E734" i="3"/>
  <c r="B734" i="3"/>
  <c r="U733" i="3"/>
  <c r="K733" i="3"/>
  <c r="E733" i="3"/>
  <c r="B733" i="3"/>
  <c r="U732" i="3"/>
  <c r="K732" i="3"/>
  <c r="E732" i="3"/>
  <c r="B732" i="3"/>
  <c r="U731" i="3"/>
  <c r="K731" i="3"/>
  <c r="E731" i="3"/>
  <c r="B731" i="3"/>
  <c r="U730" i="3"/>
  <c r="K730" i="3"/>
  <c r="E730" i="3"/>
  <c r="B730" i="3"/>
  <c r="U729" i="3"/>
  <c r="K729" i="3"/>
  <c r="E729" i="3"/>
  <c r="B729" i="3"/>
  <c r="U728" i="3"/>
  <c r="K728" i="3"/>
  <c r="E728" i="3"/>
  <c r="B728" i="3"/>
  <c r="U727" i="3"/>
  <c r="K727" i="3"/>
  <c r="E727" i="3"/>
  <c r="B727" i="3"/>
  <c r="U726" i="3"/>
  <c r="K726" i="3"/>
  <c r="E726" i="3"/>
  <c r="B726" i="3"/>
  <c r="U725" i="3"/>
  <c r="K725" i="3"/>
  <c r="E725" i="3"/>
  <c r="B725" i="3"/>
  <c r="U724" i="3"/>
  <c r="K724" i="3"/>
  <c r="E724" i="3"/>
  <c r="B724" i="3"/>
  <c r="U723" i="3"/>
  <c r="K723" i="3"/>
  <c r="E723" i="3"/>
  <c r="B723" i="3"/>
  <c r="U722" i="3"/>
  <c r="K722" i="3"/>
  <c r="E722" i="3"/>
  <c r="B722" i="3"/>
  <c r="U721" i="3"/>
  <c r="K721" i="3"/>
  <c r="E721" i="3"/>
  <c r="B721" i="3"/>
  <c r="U720" i="3"/>
  <c r="K720" i="3"/>
  <c r="E720" i="3"/>
  <c r="B720" i="3"/>
  <c r="U719" i="3"/>
  <c r="K719" i="3"/>
  <c r="E719" i="3"/>
  <c r="B719" i="3"/>
  <c r="U718" i="3"/>
  <c r="K718" i="3"/>
  <c r="E718" i="3"/>
  <c r="B718" i="3"/>
  <c r="U717" i="3"/>
  <c r="K717" i="3"/>
  <c r="E717" i="3"/>
  <c r="B717" i="3"/>
  <c r="U716" i="3"/>
  <c r="K716" i="3"/>
  <c r="E716" i="3"/>
  <c r="B716" i="3"/>
  <c r="U715" i="3"/>
  <c r="K715" i="3"/>
  <c r="E715" i="3"/>
  <c r="B715" i="3"/>
  <c r="U714" i="3"/>
  <c r="K714" i="3"/>
  <c r="E714" i="3"/>
  <c r="B714" i="3"/>
  <c r="U713" i="3"/>
  <c r="K713" i="3"/>
  <c r="E713" i="3"/>
  <c r="B713" i="3"/>
  <c r="U712" i="3"/>
  <c r="K712" i="3"/>
  <c r="E712" i="3"/>
  <c r="B712" i="3"/>
  <c r="U711" i="3"/>
  <c r="K711" i="3"/>
  <c r="E711" i="3"/>
  <c r="B711" i="3"/>
  <c r="U710" i="3"/>
  <c r="K710" i="3"/>
  <c r="E710" i="3"/>
  <c r="B710" i="3"/>
  <c r="U709" i="3"/>
  <c r="K709" i="3"/>
  <c r="E709" i="3"/>
  <c r="B709" i="3"/>
  <c r="U708" i="3"/>
  <c r="K708" i="3"/>
  <c r="E708" i="3"/>
  <c r="B708" i="3"/>
  <c r="U707" i="3"/>
  <c r="K707" i="3"/>
  <c r="E707" i="3"/>
  <c r="B707" i="3"/>
  <c r="U706" i="3"/>
  <c r="K706" i="3"/>
  <c r="E706" i="3"/>
  <c r="B706" i="3"/>
  <c r="U705" i="3"/>
  <c r="K705" i="3"/>
  <c r="E705" i="3"/>
  <c r="B705" i="3"/>
  <c r="U704" i="3"/>
  <c r="K704" i="3"/>
  <c r="E704" i="3"/>
  <c r="B704" i="3"/>
  <c r="U703" i="3"/>
  <c r="K703" i="3"/>
  <c r="E703" i="3"/>
  <c r="B703" i="3"/>
  <c r="U702" i="3"/>
  <c r="K702" i="3"/>
  <c r="E702" i="3"/>
  <c r="B702" i="3"/>
  <c r="K701" i="3"/>
  <c r="E701" i="3"/>
  <c r="B701" i="3"/>
  <c r="U700" i="3"/>
  <c r="K700" i="3"/>
  <c r="E700" i="3"/>
  <c r="B700" i="3"/>
  <c r="U699" i="3"/>
  <c r="K699" i="3"/>
  <c r="E699" i="3"/>
  <c r="B699" i="3"/>
  <c r="U698" i="3"/>
  <c r="K698" i="3"/>
  <c r="E698" i="3"/>
  <c r="B698" i="3"/>
  <c r="U697" i="3"/>
  <c r="K697" i="3"/>
  <c r="E697" i="3"/>
  <c r="B697" i="3"/>
  <c r="U696" i="3"/>
  <c r="K696" i="3"/>
  <c r="E696" i="3"/>
  <c r="B696" i="3"/>
  <c r="U695" i="3"/>
  <c r="K695" i="3"/>
  <c r="E695" i="3"/>
  <c r="B695" i="3"/>
  <c r="U694" i="3"/>
  <c r="K694" i="3"/>
  <c r="E694" i="3"/>
  <c r="B694" i="3"/>
  <c r="U693" i="3"/>
  <c r="K693" i="3"/>
  <c r="E693" i="3"/>
  <c r="B693" i="3"/>
  <c r="U692" i="3"/>
  <c r="K692" i="3"/>
  <c r="E692" i="3"/>
  <c r="B692" i="3"/>
  <c r="U691" i="3"/>
  <c r="K691" i="3"/>
  <c r="E691" i="3"/>
  <c r="B691" i="3"/>
  <c r="U690" i="3"/>
  <c r="K690" i="3"/>
  <c r="E690" i="3"/>
  <c r="B690" i="3"/>
  <c r="U689" i="3"/>
  <c r="K689" i="3"/>
  <c r="E689" i="3"/>
  <c r="B689" i="3"/>
  <c r="U688" i="3"/>
  <c r="K688" i="3"/>
  <c r="E688" i="3"/>
  <c r="B688" i="3"/>
  <c r="U687" i="3"/>
  <c r="K687" i="3"/>
  <c r="E687" i="3"/>
  <c r="B687" i="3"/>
  <c r="U686" i="3"/>
  <c r="K686" i="3"/>
  <c r="E686" i="3"/>
  <c r="B686" i="3"/>
  <c r="U685" i="3"/>
  <c r="K685" i="3"/>
  <c r="E685" i="3"/>
  <c r="B685" i="3"/>
  <c r="U684" i="3"/>
  <c r="K684" i="3"/>
  <c r="E684" i="3"/>
  <c r="B684" i="3"/>
  <c r="U683" i="3"/>
  <c r="K683" i="3"/>
  <c r="E683" i="3"/>
  <c r="B683" i="3"/>
  <c r="U682" i="3"/>
  <c r="K682" i="3"/>
  <c r="E682" i="3"/>
  <c r="B682" i="3"/>
  <c r="U681" i="3"/>
  <c r="K681" i="3"/>
  <c r="E681" i="3"/>
  <c r="B681" i="3"/>
  <c r="U680" i="3"/>
  <c r="K680" i="3"/>
  <c r="E680" i="3"/>
  <c r="B680" i="3"/>
  <c r="U679" i="3"/>
  <c r="K679" i="3"/>
  <c r="E679" i="3"/>
  <c r="B679" i="3"/>
  <c r="U678" i="3"/>
  <c r="K678" i="3"/>
  <c r="E678" i="3"/>
  <c r="B678" i="3"/>
  <c r="U677" i="3"/>
  <c r="K677" i="3"/>
  <c r="E677" i="3"/>
  <c r="B677" i="3"/>
  <c r="U676" i="3"/>
  <c r="K676" i="3"/>
  <c r="E676" i="3"/>
  <c r="B676" i="3"/>
  <c r="U675" i="3"/>
  <c r="K675" i="3"/>
  <c r="E675" i="3"/>
  <c r="B675" i="3"/>
  <c r="U674" i="3"/>
  <c r="K674" i="3"/>
  <c r="E674" i="3"/>
  <c r="B674" i="3"/>
  <c r="U673" i="3"/>
  <c r="K673" i="3"/>
  <c r="E673" i="3"/>
  <c r="B673" i="3"/>
  <c r="U672" i="3"/>
  <c r="K672" i="3"/>
  <c r="E672" i="3"/>
  <c r="B672" i="3"/>
  <c r="K671" i="3"/>
  <c r="E671" i="3"/>
  <c r="B671" i="3"/>
  <c r="K670" i="3"/>
  <c r="E670" i="3"/>
  <c r="B670" i="3"/>
  <c r="U669" i="3"/>
  <c r="K669" i="3"/>
  <c r="E669" i="3"/>
  <c r="B669" i="3"/>
  <c r="U668" i="3"/>
  <c r="K668" i="3"/>
  <c r="E668" i="3"/>
  <c r="B668" i="3"/>
  <c r="U667" i="3"/>
  <c r="K667" i="3"/>
  <c r="E667" i="3"/>
  <c r="B667" i="3"/>
  <c r="U666" i="3"/>
  <c r="K666" i="3"/>
  <c r="E666" i="3"/>
  <c r="B666" i="3"/>
  <c r="U665" i="3"/>
  <c r="K665" i="3"/>
  <c r="E665" i="3"/>
  <c r="B665" i="3"/>
  <c r="U664" i="3"/>
  <c r="K664" i="3"/>
  <c r="E664" i="3"/>
  <c r="B664" i="3"/>
  <c r="U663" i="3"/>
  <c r="K663" i="3"/>
  <c r="E663" i="3"/>
  <c r="B663" i="3"/>
  <c r="U662" i="3"/>
  <c r="K662" i="3"/>
  <c r="E662" i="3"/>
  <c r="B662" i="3"/>
  <c r="U661" i="3"/>
  <c r="K661" i="3"/>
  <c r="E661" i="3"/>
  <c r="B661" i="3"/>
  <c r="U660" i="3"/>
  <c r="K660" i="3"/>
  <c r="E660" i="3"/>
  <c r="B660" i="3"/>
  <c r="U659" i="3"/>
  <c r="K659" i="3"/>
  <c r="E659" i="3"/>
  <c r="B659" i="3"/>
  <c r="U658" i="3"/>
  <c r="K658" i="3"/>
  <c r="E658" i="3"/>
  <c r="B658" i="3"/>
  <c r="U657" i="3"/>
  <c r="K657" i="3"/>
  <c r="E657" i="3"/>
  <c r="B657" i="3"/>
  <c r="U656" i="3"/>
  <c r="K656" i="3"/>
  <c r="E656" i="3"/>
  <c r="B656" i="3"/>
  <c r="U655" i="3"/>
  <c r="K655" i="3"/>
  <c r="E655" i="3"/>
  <c r="B655" i="3"/>
  <c r="U654" i="3"/>
  <c r="K654" i="3"/>
  <c r="E654" i="3"/>
  <c r="B654" i="3"/>
  <c r="U653" i="3"/>
  <c r="K653" i="3"/>
  <c r="E653" i="3"/>
  <c r="B653" i="3"/>
  <c r="U652" i="3"/>
  <c r="K652" i="3"/>
  <c r="E652" i="3"/>
  <c r="B652" i="3"/>
  <c r="U651" i="3"/>
  <c r="K651" i="3"/>
  <c r="E651" i="3"/>
  <c r="B651" i="3"/>
  <c r="U650" i="3"/>
  <c r="K650" i="3"/>
  <c r="E650" i="3"/>
  <c r="B650" i="3"/>
  <c r="U649" i="3"/>
  <c r="K649" i="3"/>
  <c r="E649" i="3"/>
  <c r="B649" i="3"/>
  <c r="U648" i="3"/>
  <c r="K648" i="3"/>
  <c r="E648" i="3"/>
  <c r="B648" i="3"/>
  <c r="U647" i="3"/>
  <c r="K647" i="3"/>
  <c r="E647" i="3"/>
  <c r="B647" i="3"/>
  <c r="U646" i="3"/>
  <c r="K646" i="3"/>
  <c r="E646" i="3"/>
  <c r="B646" i="3"/>
  <c r="U645" i="3"/>
  <c r="K645" i="3"/>
  <c r="E645" i="3"/>
  <c r="B645" i="3"/>
  <c r="U644" i="3"/>
  <c r="K644" i="3"/>
  <c r="E644" i="3"/>
  <c r="B644" i="3"/>
  <c r="U643" i="3"/>
  <c r="K643" i="3"/>
  <c r="E643" i="3"/>
  <c r="B643" i="3"/>
  <c r="U642" i="3"/>
  <c r="K642" i="3"/>
  <c r="E642" i="3"/>
  <c r="B642" i="3"/>
  <c r="U641" i="3"/>
  <c r="K641" i="3"/>
  <c r="E641" i="3"/>
  <c r="B641" i="3"/>
  <c r="U640" i="3"/>
  <c r="K640" i="3"/>
  <c r="E640" i="3"/>
  <c r="B640" i="3"/>
  <c r="U639" i="3"/>
  <c r="K639" i="3"/>
  <c r="E639" i="3"/>
  <c r="B639" i="3"/>
  <c r="U638" i="3"/>
  <c r="K638" i="3"/>
  <c r="E638" i="3"/>
  <c r="B638" i="3"/>
  <c r="U637" i="3"/>
  <c r="K637" i="3"/>
  <c r="E637" i="3"/>
  <c r="B637" i="3"/>
  <c r="U636" i="3"/>
  <c r="K636" i="3"/>
  <c r="E636" i="3"/>
  <c r="B636" i="3"/>
  <c r="U635" i="3"/>
  <c r="K635" i="3"/>
  <c r="E635" i="3"/>
  <c r="B635" i="3"/>
  <c r="U634" i="3"/>
  <c r="K634" i="3"/>
  <c r="E634" i="3"/>
  <c r="B634" i="3"/>
  <c r="U633" i="3"/>
  <c r="K633" i="3"/>
  <c r="E633" i="3"/>
  <c r="B633" i="3"/>
  <c r="U632" i="3"/>
  <c r="K632" i="3"/>
  <c r="E632" i="3"/>
  <c r="B632" i="3"/>
  <c r="U631" i="3"/>
  <c r="K631" i="3"/>
  <c r="E631" i="3"/>
  <c r="B631" i="3"/>
  <c r="U630" i="3"/>
  <c r="K630" i="3"/>
  <c r="E630" i="3"/>
  <c r="B630" i="3"/>
  <c r="U629" i="3"/>
  <c r="K629" i="3"/>
  <c r="E629" i="3"/>
  <c r="B629" i="3"/>
  <c r="U628" i="3"/>
  <c r="K628" i="3"/>
  <c r="E628" i="3"/>
  <c r="B628" i="3"/>
  <c r="U627" i="3"/>
  <c r="K627" i="3"/>
  <c r="E627" i="3"/>
  <c r="B627" i="3"/>
  <c r="U626" i="3"/>
  <c r="K626" i="3"/>
  <c r="E626" i="3"/>
  <c r="B626" i="3"/>
  <c r="U625" i="3"/>
  <c r="K625" i="3"/>
  <c r="E625" i="3"/>
  <c r="B625" i="3"/>
  <c r="U624" i="3"/>
  <c r="K624" i="3"/>
  <c r="E624" i="3"/>
  <c r="B624" i="3"/>
  <c r="U623" i="3"/>
  <c r="K623" i="3"/>
  <c r="E623" i="3"/>
  <c r="B623" i="3"/>
  <c r="U622" i="3"/>
  <c r="K622" i="3"/>
  <c r="E622" i="3"/>
  <c r="B622" i="3"/>
  <c r="U621" i="3"/>
  <c r="K621" i="3"/>
  <c r="E621" i="3"/>
  <c r="B621" i="3"/>
  <c r="U620" i="3"/>
  <c r="K620" i="3"/>
  <c r="E620" i="3"/>
  <c r="B620" i="3"/>
  <c r="U619" i="3"/>
  <c r="K619" i="3"/>
  <c r="E619" i="3"/>
  <c r="B619" i="3"/>
  <c r="U618" i="3"/>
  <c r="K618" i="3"/>
  <c r="E618" i="3"/>
  <c r="B618" i="3"/>
  <c r="U617" i="3"/>
  <c r="K617" i="3"/>
  <c r="E617" i="3"/>
  <c r="B617" i="3"/>
  <c r="U616" i="3"/>
  <c r="K616" i="3"/>
  <c r="E616" i="3"/>
  <c r="B616" i="3"/>
  <c r="U615" i="3"/>
  <c r="K615" i="3"/>
  <c r="E615" i="3"/>
  <c r="B615" i="3"/>
  <c r="U614" i="3"/>
  <c r="K614" i="3"/>
  <c r="E614" i="3"/>
  <c r="B614" i="3"/>
  <c r="K613" i="3"/>
  <c r="E613" i="3"/>
  <c r="B613" i="3"/>
  <c r="U612" i="3"/>
  <c r="K612" i="3"/>
  <c r="E612" i="3"/>
  <c r="B612" i="3"/>
  <c r="U611" i="3"/>
  <c r="K611" i="3"/>
  <c r="E611" i="3"/>
  <c r="B611" i="3"/>
  <c r="U610" i="3"/>
  <c r="K610" i="3"/>
  <c r="E610" i="3"/>
  <c r="B610" i="3"/>
  <c r="U609" i="3"/>
  <c r="K609" i="3"/>
  <c r="E609" i="3"/>
  <c r="B609" i="3"/>
  <c r="U608" i="3"/>
  <c r="K608" i="3"/>
  <c r="E608" i="3"/>
  <c r="B608" i="3"/>
  <c r="U607" i="3"/>
  <c r="K607" i="3"/>
  <c r="E607" i="3"/>
  <c r="B607" i="3"/>
  <c r="U606" i="3"/>
  <c r="K606" i="3"/>
  <c r="E606" i="3"/>
  <c r="B606" i="3"/>
  <c r="U605" i="3"/>
  <c r="K605" i="3"/>
  <c r="E605" i="3"/>
  <c r="B605" i="3"/>
  <c r="U604" i="3"/>
  <c r="K604" i="3"/>
  <c r="E604" i="3"/>
  <c r="B604" i="3"/>
  <c r="U603" i="3"/>
  <c r="K603" i="3"/>
  <c r="E603" i="3"/>
  <c r="B603" i="3"/>
  <c r="U602" i="3"/>
  <c r="K602" i="3"/>
  <c r="E602" i="3"/>
  <c r="B602" i="3"/>
  <c r="U601" i="3"/>
  <c r="K601" i="3"/>
  <c r="E601" i="3"/>
  <c r="B601" i="3"/>
  <c r="U600" i="3"/>
  <c r="K600" i="3"/>
  <c r="E600" i="3"/>
  <c r="B600" i="3"/>
  <c r="U599" i="3"/>
  <c r="K599" i="3"/>
  <c r="E599" i="3"/>
  <c r="B599" i="3"/>
  <c r="U598" i="3"/>
  <c r="K598" i="3"/>
  <c r="E598" i="3"/>
  <c r="B598" i="3"/>
  <c r="U597" i="3"/>
  <c r="K597" i="3"/>
  <c r="E597" i="3"/>
  <c r="B597" i="3"/>
  <c r="U596" i="3"/>
  <c r="K596" i="3"/>
  <c r="E596" i="3"/>
  <c r="B596" i="3"/>
  <c r="U595" i="3"/>
  <c r="K595" i="3"/>
  <c r="E595" i="3"/>
  <c r="B595" i="3"/>
  <c r="U594" i="3"/>
  <c r="K594" i="3"/>
  <c r="E594" i="3"/>
  <c r="B594" i="3"/>
  <c r="U593" i="3"/>
  <c r="K593" i="3"/>
  <c r="E593" i="3"/>
  <c r="B593" i="3"/>
  <c r="U592" i="3"/>
  <c r="K592" i="3"/>
  <c r="E592" i="3"/>
  <c r="B592" i="3"/>
  <c r="U591" i="3"/>
  <c r="K591" i="3"/>
  <c r="E591" i="3"/>
  <c r="B591" i="3"/>
  <c r="U590" i="3"/>
  <c r="K590" i="3"/>
  <c r="E590" i="3"/>
  <c r="B590" i="3"/>
  <c r="U589" i="3"/>
  <c r="K589" i="3"/>
  <c r="E589" i="3"/>
  <c r="B589" i="3"/>
  <c r="U588" i="3"/>
  <c r="K588" i="3"/>
  <c r="E588" i="3"/>
  <c r="B588" i="3"/>
  <c r="U587" i="3"/>
  <c r="K587" i="3"/>
  <c r="E587" i="3"/>
  <c r="B587" i="3"/>
  <c r="U586" i="3"/>
  <c r="K586" i="3"/>
  <c r="E586" i="3"/>
  <c r="B586" i="3"/>
  <c r="U585" i="3"/>
  <c r="K585" i="3"/>
  <c r="E585" i="3"/>
  <c r="B585" i="3"/>
  <c r="U584" i="3"/>
  <c r="K584" i="3"/>
  <c r="E584" i="3"/>
  <c r="B584" i="3"/>
  <c r="U583" i="3"/>
  <c r="K583" i="3"/>
  <c r="E583" i="3"/>
  <c r="B583" i="3"/>
  <c r="U582" i="3"/>
  <c r="K582" i="3"/>
  <c r="E582" i="3"/>
  <c r="B582" i="3"/>
  <c r="U581" i="3"/>
  <c r="K581" i="3"/>
  <c r="E581" i="3"/>
  <c r="B581" i="3"/>
  <c r="U580" i="3"/>
  <c r="K580" i="3"/>
  <c r="E580" i="3"/>
  <c r="B580" i="3"/>
  <c r="U579" i="3"/>
  <c r="K579" i="3"/>
  <c r="E579" i="3"/>
  <c r="B579" i="3"/>
  <c r="U578" i="3"/>
  <c r="K578" i="3"/>
  <c r="E578" i="3"/>
  <c r="B578" i="3"/>
  <c r="U577" i="3"/>
  <c r="K577" i="3"/>
  <c r="E577" i="3"/>
  <c r="B577" i="3"/>
  <c r="U576" i="3"/>
  <c r="K576" i="3"/>
  <c r="E576" i="3"/>
  <c r="B576" i="3"/>
  <c r="U575" i="3"/>
  <c r="K575" i="3"/>
  <c r="E575" i="3"/>
  <c r="B575" i="3"/>
  <c r="U574" i="3"/>
  <c r="K574" i="3"/>
  <c r="E574" i="3"/>
  <c r="B574" i="3"/>
  <c r="U573" i="3"/>
  <c r="K573" i="3"/>
  <c r="E573" i="3"/>
  <c r="B573" i="3"/>
  <c r="U572" i="3"/>
  <c r="K572" i="3"/>
  <c r="E572" i="3"/>
  <c r="B572" i="3"/>
  <c r="U571" i="3"/>
  <c r="K571" i="3"/>
  <c r="E571" i="3"/>
  <c r="B571" i="3"/>
  <c r="U570" i="3"/>
  <c r="K570" i="3"/>
  <c r="E570" i="3"/>
  <c r="B570" i="3"/>
  <c r="U569" i="3"/>
  <c r="K569" i="3"/>
  <c r="E569" i="3"/>
  <c r="B569" i="3"/>
  <c r="U568" i="3"/>
  <c r="K568" i="3"/>
  <c r="E568" i="3"/>
  <c r="B568" i="3"/>
  <c r="U567" i="3"/>
  <c r="K567" i="3"/>
  <c r="E567" i="3"/>
  <c r="B567" i="3"/>
  <c r="U566" i="3"/>
  <c r="K566" i="3"/>
  <c r="E566" i="3"/>
  <c r="B566" i="3"/>
  <c r="U565" i="3"/>
  <c r="K565" i="3"/>
  <c r="E565" i="3"/>
  <c r="B565" i="3"/>
  <c r="U564" i="3"/>
  <c r="K564" i="3"/>
  <c r="E564" i="3"/>
  <c r="B564" i="3"/>
  <c r="U563" i="3"/>
  <c r="K563" i="3"/>
  <c r="E563" i="3"/>
  <c r="B563" i="3"/>
  <c r="U562" i="3"/>
  <c r="K562" i="3"/>
  <c r="E562" i="3"/>
  <c r="B562" i="3"/>
  <c r="U561" i="3"/>
  <c r="K561" i="3"/>
  <c r="E561" i="3"/>
  <c r="B561" i="3"/>
  <c r="U560" i="3"/>
  <c r="K560" i="3"/>
  <c r="E560" i="3"/>
  <c r="B560" i="3"/>
  <c r="U559" i="3"/>
  <c r="K559" i="3"/>
  <c r="E559" i="3"/>
  <c r="B559" i="3"/>
  <c r="U558" i="3"/>
  <c r="K558" i="3"/>
  <c r="E558" i="3"/>
  <c r="B558" i="3"/>
  <c r="U557" i="3"/>
  <c r="K557" i="3"/>
  <c r="E557" i="3"/>
  <c r="B557" i="3"/>
  <c r="U556" i="3"/>
  <c r="K556" i="3"/>
  <c r="E556" i="3"/>
  <c r="B556" i="3"/>
  <c r="U555" i="3"/>
  <c r="K555" i="3"/>
  <c r="E555" i="3"/>
  <c r="B555" i="3"/>
  <c r="U554" i="3"/>
  <c r="K554" i="3"/>
  <c r="E554" i="3"/>
  <c r="B554" i="3"/>
  <c r="U553" i="3"/>
  <c r="K553" i="3"/>
  <c r="E553" i="3"/>
  <c r="B553" i="3"/>
  <c r="U552" i="3"/>
  <c r="K552" i="3"/>
  <c r="E552" i="3"/>
  <c r="B552" i="3"/>
  <c r="U551" i="3"/>
  <c r="K551" i="3"/>
  <c r="E551" i="3"/>
  <c r="B551" i="3"/>
  <c r="U550" i="3"/>
  <c r="K550" i="3"/>
  <c r="E550" i="3"/>
  <c r="B550" i="3"/>
  <c r="U549" i="3"/>
  <c r="K549" i="3"/>
  <c r="E549" i="3"/>
  <c r="B549" i="3"/>
  <c r="U548" i="3"/>
  <c r="K548" i="3"/>
  <c r="E548" i="3"/>
  <c r="B548" i="3"/>
  <c r="U547" i="3"/>
  <c r="K547" i="3"/>
  <c r="E547" i="3"/>
  <c r="B547" i="3"/>
  <c r="U546" i="3"/>
  <c r="K546" i="3"/>
  <c r="E546" i="3"/>
  <c r="B546" i="3"/>
  <c r="U545" i="3"/>
  <c r="K545" i="3"/>
  <c r="E545" i="3"/>
  <c r="B545" i="3"/>
  <c r="U544" i="3"/>
  <c r="K544" i="3"/>
  <c r="E544" i="3"/>
  <c r="B544" i="3"/>
  <c r="U543" i="3"/>
  <c r="K543" i="3"/>
  <c r="E543" i="3"/>
  <c r="B543" i="3"/>
  <c r="U542" i="3"/>
  <c r="K542" i="3"/>
  <c r="E542" i="3"/>
  <c r="B542" i="3"/>
  <c r="U541" i="3"/>
  <c r="K541" i="3"/>
  <c r="E541" i="3"/>
  <c r="B541" i="3"/>
  <c r="U540" i="3"/>
  <c r="K540" i="3"/>
  <c r="E540" i="3"/>
  <c r="B540" i="3"/>
  <c r="U539" i="3"/>
  <c r="K539" i="3"/>
  <c r="E539" i="3"/>
  <c r="B539" i="3"/>
  <c r="U538" i="3"/>
  <c r="K538" i="3"/>
  <c r="E538" i="3"/>
  <c r="B538" i="3"/>
  <c r="U537" i="3"/>
  <c r="K537" i="3"/>
  <c r="E537" i="3"/>
  <c r="B537" i="3"/>
  <c r="U536" i="3"/>
  <c r="K536" i="3"/>
  <c r="E536" i="3"/>
  <c r="B536" i="3"/>
  <c r="U535" i="3"/>
  <c r="K535" i="3"/>
  <c r="E535" i="3"/>
  <c r="B535" i="3"/>
  <c r="U534" i="3"/>
  <c r="K534" i="3"/>
  <c r="E534" i="3"/>
  <c r="B534" i="3"/>
  <c r="U533" i="3"/>
  <c r="K533" i="3"/>
  <c r="E533" i="3"/>
  <c r="B533" i="3"/>
  <c r="U532" i="3"/>
  <c r="K532" i="3"/>
  <c r="E532" i="3"/>
  <c r="B532" i="3"/>
  <c r="U531" i="3"/>
  <c r="K531" i="3"/>
  <c r="E531" i="3"/>
  <c r="B531" i="3"/>
  <c r="U530" i="3"/>
  <c r="K530" i="3"/>
  <c r="E530" i="3"/>
  <c r="B530" i="3"/>
  <c r="U529" i="3"/>
  <c r="K529" i="3"/>
  <c r="E529" i="3"/>
  <c r="B529" i="3"/>
  <c r="U528" i="3"/>
  <c r="K528" i="3"/>
  <c r="E528" i="3"/>
  <c r="B528" i="3"/>
  <c r="U527" i="3"/>
  <c r="K527" i="3"/>
  <c r="E527" i="3"/>
  <c r="B527" i="3"/>
  <c r="U526" i="3"/>
  <c r="K526" i="3"/>
  <c r="E526" i="3"/>
  <c r="B526" i="3"/>
  <c r="U525" i="3"/>
  <c r="K525" i="3"/>
  <c r="E525" i="3"/>
  <c r="B525" i="3"/>
  <c r="U524" i="3"/>
  <c r="K524" i="3"/>
  <c r="E524" i="3"/>
  <c r="B524" i="3"/>
  <c r="U523" i="3"/>
  <c r="K523" i="3"/>
  <c r="E523" i="3"/>
  <c r="B523" i="3"/>
  <c r="U522" i="3"/>
  <c r="K522" i="3"/>
  <c r="E522" i="3"/>
  <c r="B522" i="3"/>
  <c r="U521" i="3"/>
  <c r="K521" i="3"/>
  <c r="E521" i="3"/>
  <c r="B521" i="3"/>
  <c r="U520" i="3"/>
  <c r="K520" i="3"/>
  <c r="E520" i="3"/>
  <c r="B520" i="3"/>
  <c r="U519" i="3"/>
  <c r="K519" i="3"/>
  <c r="E519" i="3"/>
  <c r="B519" i="3"/>
  <c r="U518" i="3"/>
  <c r="K518" i="3"/>
  <c r="E518" i="3"/>
  <c r="B518" i="3"/>
  <c r="U517" i="3"/>
  <c r="K517" i="3"/>
  <c r="E517" i="3"/>
  <c r="B517" i="3"/>
  <c r="U516" i="3"/>
  <c r="K516" i="3"/>
  <c r="E516" i="3"/>
  <c r="B516" i="3"/>
  <c r="U515" i="3"/>
  <c r="K515" i="3"/>
  <c r="E515" i="3"/>
  <c r="B515" i="3"/>
  <c r="U514" i="3"/>
  <c r="K514" i="3"/>
  <c r="E514" i="3"/>
  <c r="B514" i="3"/>
  <c r="U513" i="3"/>
  <c r="K513" i="3"/>
  <c r="E513" i="3"/>
  <c r="B513" i="3"/>
  <c r="U512" i="3"/>
  <c r="K512" i="3"/>
  <c r="E512" i="3"/>
  <c r="B512" i="3"/>
  <c r="U511" i="3"/>
  <c r="K511" i="3"/>
  <c r="E511" i="3"/>
  <c r="B511" i="3"/>
  <c r="U510" i="3"/>
  <c r="K510" i="3"/>
  <c r="E510" i="3"/>
  <c r="B510" i="3"/>
  <c r="U509" i="3"/>
  <c r="K509" i="3"/>
  <c r="E509" i="3"/>
  <c r="B509" i="3"/>
  <c r="U508" i="3"/>
  <c r="K508" i="3"/>
  <c r="E508" i="3"/>
  <c r="B508" i="3"/>
  <c r="U507" i="3"/>
  <c r="K507" i="3"/>
  <c r="E507" i="3"/>
  <c r="B507" i="3"/>
  <c r="U506" i="3"/>
  <c r="K506" i="3"/>
  <c r="E506" i="3"/>
  <c r="B506" i="3"/>
  <c r="U505" i="3"/>
  <c r="K505" i="3"/>
  <c r="E505" i="3"/>
  <c r="B505" i="3"/>
  <c r="U504" i="3"/>
  <c r="K504" i="3"/>
  <c r="E504" i="3"/>
  <c r="B504" i="3"/>
  <c r="U503" i="3"/>
  <c r="K503" i="3"/>
  <c r="E503" i="3"/>
  <c r="B503" i="3"/>
  <c r="U502" i="3"/>
  <c r="K502" i="3"/>
  <c r="E502" i="3"/>
  <c r="B502" i="3"/>
  <c r="U501" i="3"/>
  <c r="K501" i="3"/>
  <c r="E501" i="3"/>
  <c r="B501" i="3"/>
  <c r="U500" i="3"/>
  <c r="K500" i="3"/>
  <c r="E500" i="3"/>
  <c r="B500" i="3"/>
  <c r="U499" i="3"/>
  <c r="K499" i="3"/>
  <c r="E499" i="3"/>
  <c r="B499" i="3"/>
  <c r="U498" i="3"/>
  <c r="K498" i="3"/>
  <c r="E498" i="3"/>
  <c r="B498" i="3"/>
  <c r="U497" i="3"/>
  <c r="K497" i="3"/>
  <c r="E497" i="3"/>
  <c r="B497" i="3"/>
  <c r="U496" i="3"/>
  <c r="K496" i="3"/>
  <c r="E496" i="3"/>
  <c r="B496" i="3"/>
  <c r="U495" i="3"/>
  <c r="K495" i="3"/>
  <c r="E495" i="3"/>
  <c r="B495" i="3"/>
  <c r="U494" i="3"/>
  <c r="K494" i="3"/>
  <c r="E494" i="3"/>
  <c r="B494" i="3"/>
  <c r="U493" i="3"/>
  <c r="K493" i="3"/>
  <c r="E493" i="3"/>
  <c r="B493" i="3"/>
  <c r="U492" i="3"/>
  <c r="K492" i="3"/>
  <c r="E492" i="3"/>
  <c r="B492" i="3"/>
  <c r="U491" i="3"/>
  <c r="K491" i="3"/>
  <c r="E491" i="3"/>
  <c r="B491" i="3"/>
  <c r="U490" i="3"/>
  <c r="K490" i="3"/>
  <c r="E490" i="3"/>
  <c r="B490" i="3"/>
  <c r="U489" i="3"/>
  <c r="K489" i="3"/>
  <c r="E489" i="3"/>
  <c r="B489" i="3"/>
  <c r="U488" i="3"/>
  <c r="K488" i="3"/>
  <c r="E488" i="3"/>
  <c r="B488" i="3"/>
  <c r="U487" i="3"/>
  <c r="K487" i="3"/>
  <c r="E487" i="3"/>
  <c r="B487" i="3"/>
  <c r="U486" i="3"/>
  <c r="K486" i="3"/>
  <c r="E486" i="3"/>
  <c r="B486" i="3"/>
  <c r="U485" i="3"/>
  <c r="K485" i="3"/>
  <c r="E485" i="3"/>
  <c r="B485" i="3"/>
  <c r="U484" i="3"/>
  <c r="K484" i="3"/>
  <c r="E484" i="3"/>
  <c r="B484" i="3"/>
  <c r="U483" i="3"/>
  <c r="K483" i="3"/>
  <c r="E483" i="3"/>
  <c r="B483" i="3"/>
  <c r="U482" i="3"/>
  <c r="K482" i="3"/>
  <c r="E482" i="3"/>
  <c r="B482" i="3"/>
  <c r="U481" i="3"/>
  <c r="K481" i="3"/>
  <c r="E481" i="3"/>
  <c r="B481" i="3"/>
  <c r="U480" i="3"/>
  <c r="K480" i="3"/>
  <c r="E480" i="3"/>
  <c r="B480" i="3"/>
  <c r="U479" i="3"/>
  <c r="K479" i="3"/>
  <c r="E479" i="3"/>
  <c r="B479" i="3"/>
  <c r="U478" i="3"/>
  <c r="K478" i="3"/>
  <c r="E478" i="3"/>
  <c r="B478" i="3"/>
  <c r="U477" i="3"/>
  <c r="K477" i="3"/>
  <c r="E477" i="3"/>
  <c r="B477" i="3"/>
  <c r="U476" i="3"/>
  <c r="K476" i="3"/>
  <c r="E476" i="3"/>
  <c r="B476" i="3"/>
  <c r="U475" i="3"/>
  <c r="K475" i="3"/>
  <c r="E475" i="3"/>
  <c r="B475" i="3"/>
  <c r="U474" i="3"/>
  <c r="K474" i="3"/>
  <c r="E474" i="3"/>
  <c r="B474" i="3"/>
  <c r="U473" i="3"/>
  <c r="K473" i="3"/>
  <c r="E473" i="3"/>
  <c r="B473" i="3"/>
  <c r="U472" i="3"/>
  <c r="K472" i="3"/>
  <c r="E472" i="3"/>
  <c r="B472" i="3"/>
  <c r="U471" i="3"/>
  <c r="K471" i="3"/>
  <c r="E471" i="3"/>
  <c r="B471" i="3"/>
  <c r="U470" i="3"/>
  <c r="K470" i="3"/>
  <c r="E470" i="3"/>
  <c r="B470" i="3"/>
  <c r="U469" i="3"/>
  <c r="K469" i="3"/>
  <c r="E469" i="3"/>
  <c r="B469" i="3"/>
  <c r="U468" i="3"/>
  <c r="K468" i="3"/>
  <c r="E468" i="3"/>
  <c r="B468" i="3"/>
  <c r="U467" i="3"/>
  <c r="K467" i="3"/>
  <c r="E467" i="3"/>
  <c r="B467" i="3"/>
  <c r="U466" i="3"/>
  <c r="K466" i="3"/>
  <c r="E466" i="3"/>
  <c r="B466" i="3"/>
  <c r="U465" i="3"/>
  <c r="K465" i="3"/>
  <c r="E465" i="3"/>
  <c r="B465" i="3"/>
  <c r="U464" i="3"/>
  <c r="K464" i="3"/>
  <c r="E464" i="3"/>
  <c r="B464" i="3"/>
  <c r="U463" i="3"/>
  <c r="K463" i="3"/>
  <c r="E463" i="3"/>
  <c r="B463" i="3"/>
  <c r="U462" i="3"/>
  <c r="K462" i="3"/>
  <c r="E462" i="3"/>
  <c r="B462" i="3"/>
  <c r="U461" i="3"/>
  <c r="K461" i="3"/>
  <c r="E461" i="3"/>
  <c r="B461" i="3"/>
  <c r="U460" i="3"/>
  <c r="K460" i="3"/>
  <c r="E460" i="3"/>
  <c r="B460" i="3"/>
  <c r="U459" i="3"/>
  <c r="K459" i="3"/>
  <c r="E459" i="3"/>
  <c r="B459" i="3"/>
  <c r="U458" i="3"/>
  <c r="K458" i="3"/>
  <c r="E458" i="3"/>
  <c r="B458" i="3"/>
  <c r="U457" i="3"/>
  <c r="K457" i="3"/>
  <c r="E457" i="3"/>
  <c r="B457" i="3"/>
  <c r="U456" i="3"/>
  <c r="K456" i="3"/>
  <c r="E456" i="3"/>
  <c r="B456" i="3"/>
  <c r="U455" i="3"/>
  <c r="K455" i="3"/>
  <c r="E455" i="3"/>
  <c r="B455" i="3"/>
  <c r="U454" i="3"/>
  <c r="K454" i="3"/>
  <c r="E454" i="3"/>
  <c r="B454" i="3"/>
  <c r="U453" i="3"/>
  <c r="K453" i="3"/>
  <c r="E453" i="3"/>
  <c r="B453" i="3"/>
  <c r="U452" i="3"/>
  <c r="K452" i="3"/>
  <c r="E452" i="3"/>
  <c r="B452" i="3"/>
  <c r="U451" i="3"/>
  <c r="K451" i="3"/>
  <c r="E451" i="3"/>
  <c r="B451" i="3"/>
  <c r="U450" i="3"/>
  <c r="K450" i="3"/>
  <c r="E450" i="3"/>
  <c r="B450" i="3"/>
  <c r="K449" i="3"/>
  <c r="E449" i="3"/>
  <c r="B449" i="3"/>
  <c r="U448" i="3"/>
  <c r="K448" i="3"/>
  <c r="E448" i="3"/>
  <c r="B448" i="3"/>
  <c r="U447" i="3"/>
  <c r="K447" i="3"/>
  <c r="E447" i="3"/>
  <c r="B447" i="3"/>
  <c r="U446" i="3"/>
  <c r="K446" i="3"/>
  <c r="E446" i="3"/>
  <c r="B446" i="3"/>
  <c r="U445" i="3"/>
  <c r="K445" i="3"/>
  <c r="E445" i="3"/>
  <c r="B445" i="3"/>
  <c r="U444" i="3"/>
  <c r="K444" i="3"/>
  <c r="E444" i="3"/>
  <c r="B444" i="3"/>
  <c r="U443" i="3"/>
  <c r="K443" i="3"/>
  <c r="E443" i="3"/>
  <c r="B443" i="3"/>
  <c r="U442" i="3"/>
  <c r="K442" i="3"/>
  <c r="E442" i="3"/>
  <c r="B442" i="3"/>
  <c r="U441" i="3"/>
  <c r="K441" i="3"/>
  <c r="E441" i="3"/>
  <c r="B441" i="3"/>
  <c r="U440" i="3"/>
  <c r="K440" i="3"/>
  <c r="E440" i="3"/>
  <c r="B440" i="3"/>
  <c r="U439" i="3"/>
  <c r="K439" i="3"/>
  <c r="E439" i="3"/>
  <c r="B439" i="3"/>
  <c r="U438" i="3"/>
  <c r="K438" i="3"/>
  <c r="E438" i="3"/>
  <c r="B438" i="3"/>
  <c r="U437" i="3"/>
  <c r="K437" i="3"/>
  <c r="E437" i="3"/>
  <c r="B437" i="3"/>
  <c r="U436" i="3"/>
  <c r="K436" i="3"/>
  <c r="E436" i="3"/>
  <c r="B436" i="3"/>
  <c r="K435" i="3"/>
  <c r="E435" i="3"/>
  <c r="B435" i="3"/>
  <c r="U434" i="3"/>
  <c r="K434" i="3"/>
  <c r="E434" i="3"/>
  <c r="B434" i="3"/>
  <c r="U433" i="3"/>
  <c r="K433" i="3"/>
  <c r="E433" i="3"/>
  <c r="B433" i="3"/>
  <c r="U432" i="3"/>
  <c r="K432" i="3"/>
  <c r="E432" i="3"/>
  <c r="B432" i="3"/>
  <c r="U431" i="3"/>
  <c r="K431" i="3"/>
  <c r="E431" i="3"/>
  <c r="B431" i="3"/>
  <c r="U430" i="3"/>
  <c r="K430" i="3"/>
  <c r="E430" i="3"/>
  <c r="B430" i="3"/>
  <c r="U429" i="3"/>
  <c r="K429" i="3"/>
  <c r="E429" i="3"/>
  <c r="B429" i="3"/>
  <c r="U428" i="3"/>
  <c r="K428" i="3"/>
  <c r="E428" i="3"/>
  <c r="B428" i="3"/>
  <c r="U427" i="3"/>
  <c r="K427" i="3"/>
  <c r="E427" i="3"/>
  <c r="B427" i="3"/>
  <c r="U426" i="3"/>
  <c r="K426" i="3"/>
  <c r="E426" i="3"/>
  <c r="B426" i="3"/>
  <c r="U425" i="3"/>
  <c r="K425" i="3"/>
  <c r="E425" i="3"/>
  <c r="B425" i="3"/>
  <c r="U424" i="3"/>
  <c r="K424" i="3"/>
  <c r="E424" i="3"/>
  <c r="B424" i="3"/>
  <c r="U423" i="3"/>
  <c r="K423" i="3"/>
  <c r="E423" i="3"/>
  <c r="B423" i="3"/>
  <c r="U422" i="3"/>
  <c r="K422" i="3"/>
  <c r="E422" i="3"/>
  <c r="B422" i="3"/>
  <c r="U421" i="3"/>
  <c r="K421" i="3"/>
  <c r="E421" i="3"/>
  <c r="B421" i="3"/>
  <c r="U420" i="3"/>
  <c r="K420" i="3"/>
  <c r="E420" i="3"/>
  <c r="B420" i="3"/>
  <c r="U419" i="3"/>
  <c r="K419" i="3"/>
  <c r="E419" i="3"/>
  <c r="B419" i="3"/>
  <c r="U418" i="3"/>
  <c r="K418" i="3"/>
  <c r="E418" i="3"/>
  <c r="B418" i="3"/>
  <c r="U417" i="3"/>
  <c r="K417" i="3"/>
  <c r="E417" i="3"/>
  <c r="B417" i="3"/>
  <c r="U416" i="3"/>
  <c r="K416" i="3"/>
  <c r="E416" i="3"/>
  <c r="B416" i="3"/>
  <c r="U415" i="3"/>
  <c r="K415" i="3"/>
  <c r="E415" i="3"/>
  <c r="B415" i="3"/>
  <c r="U414" i="3"/>
  <c r="K414" i="3"/>
  <c r="E414" i="3"/>
  <c r="B414" i="3"/>
  <c r="U413" i="3"/>
  <c r="K413" i="3"/>
  <c r="E413" i="3"/>
  <c r="B413" i="3"/>
  <c r="U412" i="3"/>
  <c r="K412" i="3"/>
  <c r="E412" i="3"/>
  <c r="B412" i="3"/>
  <c r="U411" i="3"/>
  <c r="K411" i="3"/>
  <c r="E411" i="3"/>
  <c r="B411" i="3"/>
  <c r="U410" i="3"/>
  <c r="K410" i="3"/>
  <c r="E410" i="3"/>
  <c r="B410" i="3"/>
  <c r="U409" i="3"/>
  <c r="K409" i="3"/>
  <c r="E409" i="3"/>
  <c r="B409" i="3"/>
  <c r="U408" i="3"/>
  <c r="K408" i="3"/>
  <c r="E408" i="3"/>
  <c r="B408" i="3"/>
  <c r="U407" i="3"/>
  <c r="K407" i="3"/>
  <c r="E407" i="3"/>
  <c r="B407" i="3"/>
  <c r="U406" i="3"/>
  <c r="K406" i="3"/>
  <c r="E406" i="3"/>
  <c r="B406" i="3"/>
  <c r="U405" i="3"/>
  <c r="K405" i="3"/>
  <c r="E405" i="3"/>
  <c r="B405" i="3"/>
  <c r="U404" i="3"/>
  <c r="K404" i="3"/>
  <c r="E404" i="3"/>
  <c r="B404" i="3"/>
  <c r="U403" i="3"/>
  <c r="K403" i="3"/>
  <c r="E403" i="3"/>
  <c r="B403" i="3"/>
  <c r="U402" i="3"/>
  <c r="K402" i="3"/>
  <c r="E402" i="3"/>
  <c r="B402" i="3"/>
  <c r="U401" i="3"/>
  <c r="K401" i="3"/>
  <c r="E401" i="3"/>
  <c r="B401" i="3"/>
  <c r="U400" i="3"/>
  <c r="K400" i="3"/>
  <c r="E400" i="3"/>
  <c r="B400" i="3"/>
  <c r="U399" i="3"/>
  <c r="K399" i="3"/>
  <c r="E399" i="3"/>
  <c r="B399" i="3"/>
  <c r="U398" i="3"/>
  <c r="K398" i="3"/>
  <c r="E398" i="3"/>
  <c r="B398" i="3"/>
  <c r="U397" i="3"/>
  <c r="K397" i="3"/>
  <c r="E397" i="3"/>
  <c r="B397" i="3"/>
  <c r="U396" i="3"/>
  <c r="K396" i="3"/>
  <c r="E396" i="3"/>
  <c r="B396" i="3"/>
  <c r="U395" i="3"/>
  <c r="K395" i="3"/>
  <c r="E395" i="3"/>
  <c r="B395" i="3"/>
  <c r="U394" i="3"/>
  <c r="K394" i="3"/>
  <c r="E394" i="3"/>
  <c r="B394" i="3"/>
  <c r="U393" i="3"/>
  <c r="K393" i="3"/>
  <c r="E393" i="3"/>
  <c r="B393" i="3"/>
  <c r="U392" i="3"/>
  <c r="K392" i="3"/>
  <c r="E392" i="3"/>
  <c r="B392" i="3"/>
  <c r="U391" i="3"/>
  <c r="K391" i="3"/>
  <c r="E391" i="3"/>
  <c r="B391" i="3"/>
  <c r="U390" i="3"/>
  <c r="K390" i="3"/>
  <c r="E390" i="3"/>
  <c r="B390" i="3"/>
  <c r="U389" i="3"/>
  <c r="K389" i="3"/>
  <c r="E389" i="3"/>
  <c r="B389" i="3"/>
  <c r="U388" i="3"/>
  <c r="K388" i="3"/>
  <c r="E388" i="3"/>
  <c r="B388" i="3"/>
  <c r="U387" i="3"/>
  <c r="K387" i="3"/>
  <c r="E387" i="3"/>
  <c r="B387" i="3"/>
  <c r="U386" i="3"/>
  <c r="K386" i="3"/>
  <c r="E386" i="3"/>
  <c r="B386" i="3"/>
  <c r="U385" i="3"/>
  <c r="K385" i="3"/>
  <c r="E385" i="3"/>
  <c r="B385" i="3"/>
  <c r="U384" i="3"/>
  <c r="K384" i="3"/>
  <c r="E384" i="3"/>
  <c r="B384" i="3"/>
  <c r="U383" i="3"/>
  <c r="K383" i="3"/>
  <c r="E383" i="3"/>
  <c r="B383" i="3"/>
  <c r="K382" i="3"/>
  <c r="E382" i="3"/>
  <c r="B382" i="3"/>
  <c r="U381" i="3"/>
  <c r="K381" i="3"/>
  <c r="E381" i="3"/>
  <c r="B381" i="3"/>
  <c r="U380" i="3"/>
  <c r="K380" i="3"/>
  <c r="E380" i="3"/>
  <c r="B380" i="3"/>
  <c r="K379" i="3"/>
  <c r="E379" i="3"/>
  <c r="B379" i="3"/>
  <c r="U378" i="3"/>
  <c r="K378" i="3"/>
  <c r="E378" i="3"/>
  <c r="B378" i="3"/>
  <c r="U377" i="3"/>
  <c r="K377" i="3"/>
  <c r="E377" i="3"/>
  <c r="B377" i="3"/>
  <c r="U376" i="3"/>
  <c r="K376" i="3"/>
  <c r="E376" i="3"/>
  <c r="B376" i="3"/>
  <c r="U375" i="3"/>
  <c r="K375" i="3"/>
  <c r="E375" i="3"/>
  <c r="B375" i="3"/>
  <c r="U374" i="3"/>
  <c r="K374" i="3"/>
  <c r="E374" i="3"/>
  <c r="B374" i="3"/>
  <c r="U373" i="3"/>
  <c r="K373" i="3"/>
  <c r="E373" i="3"/>
  <c r="B373" i="3"/>
  <c r="U372" i="3"/>
  <c r="K372" i="3"/>
  <c r="E372" i="3"/>
  <c r="B372" i="3"/>
  <c r="U371" i="3"/>
  <c r="K371" i="3"/>
  <c r="E371" i="3"/>
  <c r="B371" i="3"/>
  <c r="U370" i="3"/>
  <c r="K370" i="3"/>
  <c r="E370" i="3"/>
  <c r="B370" i="3"/>
  <c r="U369" i="3"/>
  <c r="K369" i="3"/>
  <c r="E369" i="3"/>
  <c r="B369" i="3"/>
  <c r="U368" i="3"/>
  <c r="K368" i="3"/>
  <c r="E368" i="3"/>
  <c r="B368" i="3"/>
  <c r="U367" i="3"/>
  <c r="K367" i="3"/>
  <c r="E367" i="3"/>
  <c r="B367" i="3"/>
  <c r="U366" i="3"/>
  <c r="K366" i="3"/>
  <c r="E366" i="3"/>
  <c r="B366" i="3"/>
  <c r="U365" i="3"/>
  <c r="K365" i="3"/>
  <c r="E365" i="3"/>
  <c r="B365" i="3"/>
  <c r="U364" i="3"/>
  <c r="K364" i="3"/>
  <c r="E364" i="3"/>
  <c r="B364" i="3"/>
  <c r="U363" i="3"/>
  <c r="K363" i="3"/>
  <c r="E363" i="3"/>
  <c r="B363" i="3"/>
  <c r="U362" i="3"/>
  <c r="K362" i="3"/>
  <c r="E362" i="3"/>
  <c r="B362" i="3"/>
  <c r="U361" i="3"/>
  <c r="K361" i="3"/>
  <c r="E361" i="3"/>
  <c r="B361" i="3"/>
  <c r="U360" i="3"/>
  <c r="K360" i="3"/>
  <c r="E360" i="3"/>
  <c r="B360" i="3"/>
  <c r="U359" i="3"/>
  <c r="K359" i="3"/>
  <c r="E359" i="3"/>
  <c r="B359" i="3"/>
  <c r="U358" i="3"/>
  <c r="K358" i="3"/>
  <c r="E358" i="3"/>
  <c r="B358" i="3"/>
  <c r="U357" i="3"/>
  <c r="K357" i="3"/>
  <c r="E357" i="3"/>
  <c r="B357" i="3"/>
  <c r="U356" i="3"/>
  <c r="K356" i="3"/>
  <c r="E356" i="3"/>
  <c r="B356" i="3"/>
  <c r="U355" i="3"/>
  <c r="K355" i="3"/>
  <c r="E355" i="3"/>
  <c r="B355" i="3"/>
  <c r="U354" i="3"/>
  <c r="K354" i="3"/>
  <c r="E354" i="3"/>
  <c r="B354" i="3"/>
  <c r="U353" i="3"/>
  <c r="K353" i="3"/>
  <c r="E353" i="3"/>
  <c r="B353" i="3"/>
  <c r="U352" i="3"/>
  <c r="K352" i="3"/>
  <c r="E352" i="3"/>
  <c r="B352" i="3"/>
  <c r="U351" i="3"/>
  <c r="K351" i="3"/>
  <c r="E351" i="3"/>
  <c r="B351" i="3"/>
  <c r="K350" i="3"/>
  <c r="E350" i="3"/>
  <c r="B350" i="3"/>
  <c r="K349" i="3"/>
  <c r="E349" i="3"/>
  <c r="B349" i="3"/>
  <c r="U348" i="3"/>
  <c r="K348" i="3"/>
  <c r="E348" i="3"/>
  <c r="B348" i="3"/>
  <c r="U347" i="3"/>
  <c r="K347" i="3"/>
  <c r="E347" i="3"/>
  <c r="B347" i="3"/>
  <c r="U346" i="3"/>
  <c r="K346" i="3"/>
  <c r="E346" i="3"/>
  <c r="B346" i="3"/>
  <c r="U345" i="3"/>
  <c r="K345" i="3"/>
  <c r="E345" i="3"/>
  <c r="B345" i="3"/>
  <c r="U344" i="3"/>
  <c r="K344" i="3"/>
  <c r="E344" i="3"/>
  <c r="B344" i="3"/>
  <c r="U343" i="3"/>
  <c r="K343" i="3"/>
  <c r="E343" i="3"/>
  <c r="B343" i="3"/>
  <c r="U342" i="3"/>
  <c r="K342" i="3"/>
  <c r="E342" i="3"/>
  <c r="B342" i="3"/>
  <c r="U341" i="3"/>
  <c r="K341" i="3"/>
  <c r="E341" i="3"/>
  <c r="B341" i="3"/>
  <c r="U340" i="3"/>
  <c r="K340" i="3"/>
  <c r="E340" i="3"/>
  <c r="B340" i="3"/>
  <c r="U339" i="3"/>
  <c r="K339" i="3"/>
  <c r="E339" i="3"/>
  <c r="B339" i="3"/>
  <c r="U338" i="3"/>
  <c r="K338" i="3"/>
  <c r="E338" i="3"/>
  <c r="B338" i="3"/>
  <c r="U337" i="3"/>
  <c r="K337" i="3"/>
  <c r="E337" i="3"/>
  <c r="B337" i="3"/>
  <c r="U336" i="3"/>
  <c r="K336" i="3"/>
  <c r="E336" i="3"/>
  <c r="B336" i="3"/>
  <c r="U335" i="3"/>
  <c r="K335" i="3"/>
  <c r="E335" i="3"/>
  <c r="B335" i="3"/>
  <c r="U334" i="3"/>
  <c r="K334" i="3"/>
  <c r="E334" i="3"/>
  <c r="B334" i="3"/>
  <c r="U333" i="3"/>
  <c r="K333" i="3"/>
  <c r="E333" i="3"/>
  <c r="B333" i="3"/>
  <c r="U332" i="3"/>
  <c r="K332" i="3"/>
  <c r="E332" i="3"/>
  <c r="B332" i="3"/>
  <c r="U331" i="3"/>
  <c r="K331" i="3"/>
  <c r="E331" i="3"/>
  <c r="B331" i="3"/>
  <c r="U330" i="3"/>
  <c r="K330" i="3"/>
  <c r="E330" i="3"/>
  <c r="B330" i="3"/>
  <c r="U329" i="3"/>
  <c r="K329" i="3"/>
  <c r="E329" i="3"/>
  <c r="B329" i="3"/>
  <c r="U328" i="3"/>
  <c r="K328" i="3"/>
  <c r="E328" i="3"/>
  <c r="B328" i="3"/>
  <c r="U327" i="3"/>
  <c r="K327" i="3"/>
  <c r="E327" i="3"/>
  <c r="B327" i="3"/>
  <c r="U326" i="3"/>
  <c r="K326" i="3"/>
  <c r="E326" i="3"/>
  <c r="B326" i="3"/>
  <c r="U325" i="3"/>
  <c r="K325" i="3"/>
  <c r="E325" i="3"/>
  <c r="B325" i="3"/>
  <c r="U324" i="3"/>
  <c r="K324" i="3"/>
  <c r="E324" i="3"/>
  <c r="B324" i="3"/>
  <c r="U323" i="3"/>
  <c r="K323" i="3"/>
  <c r="E323" i="3"/>
  <c r="B323" i="3"/>
  <c r="U322" i="3"/>
  <c r="K322" i="3"/>
  <c r="E322" i="3"/>
  <c r="B322" i="3"/>
  <c r="U321" i="3"/>
  <c r="K321" i="3"/>
  <c r="E321" i="3"/>
  <c r="B321" i="3"/>
  <c r="U320" i="3"/>
  <c r="K320" i="3"/>
  <c r="E320" i="3"/>
  <c r="B320" i="3"/>
  <c r="U319" i="3"/>
  <c r="K319" i="3"/>
  <c r="E319" i="3"/>
  <c r="B319" i="3"/>
  <c r="U318" i="3"/>
  <c r="K318" i="3"/>
  <c r="E318" i="3"/>
  <c r="B318" i="3"/>
  <c r="U317" i="3"/>
  <c r="K317" i="3"/>
  <c r="E317" i="3"/>
  <c r="B317" i="3"/>
  <c r="U316" i="3"/>
  <c r="K316" i="3"/>
  <c r="E316" i="3"/>
  <c r="B316" i="3"/>
  <c r="U315" i="3"/>
  <c r="K315" i="3"/>
  <c r="E315" i="3"/>
  <c r="B315" i="3"/>
  <c r="U314" i="3"/>
  <c r="K314" i="3"/>
  <c r="E314" i="3"/>
  <c r="B314" i="3"/>
  <c r="U313" i="3"/>
  <c r="K313" i="3"/>
  <c r="E313" i="3"/>
  <c r="B313" i="3"/>
  <c r="U312" i="3"/>
  <c r="K312" i="3"/>
  <c r="E312" i="3"/>
  <c r="B312" i="3"/>
  <c r="U311" i="3"/>
  <c r="K311" i="3"/>
  <c r="E311" i="3"/>
  <c r="B311" i="3"/>
  <c r="U310" i="3"/>
  <c r="K310" i="3"/>
  <c r="E310" i="3"/>
  <c r="B310" i="3"/>
  <c r="U309" i="3"/>
  <c r="K309" i="3"/>
  <c r="E309" i="3"/>
  <c r="B309" i="3"/>
  <c r="U308" i="3"/>
  <c r="K308" i="3"/>
  <c r="E308" i="3"/>
  <c r="B308" i="3"/>
  <c r="U307" i="3"/>
  <c r="K307" i="3"/>
  <c r="E307" i="3"/>
  <c r="B307" i="3"/>
  <c r="U306" i="3"/>
  <c r="K306" i="3"/>
  <c r="E306" i="3"/>
  <c r="B306" i="3"/>
  <c r="U305" i="3"/>
  <c r="K305" i="3"/>
  <c r="E305" i="3"/>
  <c r="B305" i="3"/>
  <c r="U304" i="3"/>
  <c r="K304" i="3"/>
  <c r="E304" i="3"/>
  <c r="B304" i="3"/>
  <c r="U303" i="3"/>
  <c r="K303" i="3"/>
  <c r="E303" i="3"/>
  <c r="B303" i="3"/>
  <c r="U302" i="3"/>
  <c r="K302" i="3"/>
  <c r="E302" i="3"/>
  <c r="B302" i="3"/>
  <c r="U301" i="3"/>
  <c r="K301" i="3"/>
  <c r="E301" i="3"/>
  <c r="B301" i="3"/>
  <c r="U300" i="3"/>
  <c r="K300" i="3"/>
  <c r="E300" i="3"/>
  <c r="B300" i="3"/>
  <c r="U299" i="3"/>
  <c r="K299" i="3"/>
  <c r="E299" i="3"/>
  <c r="B299" i="3"/>
  <c r="U298" i="3"/>
  <c r="K298" i="3"/>
  <c r="E298" i="3"/>
  <c r="B298" i="3"/>
  <c r="U297" i="3"/>
  <c r="K297" i="3"/>
  <c r="E297" i="3"/>
  <c r="B297" i="3"/>
  <c r="U296" i="3"/>
  <c r="K296" i="3"/>
  <c r="E296" i="3"/>
  <c r="B296" i="3"/>
  <c r="U295" i="3"/>
  <c r="K295" i="3"/>
  <c r="E295" i="3"/>
  <c r="B295" i="3"/>
  <c r="U294" i="3"/>
  <c r="K294" i="3"/>
  <c r="E294" i="3"/>
  <c r="B294" i="3"/>
  <c r="U293" i="3"/>
  <c r="K293" i="3"/>
  <c r="E293" i="3"/>
  <c r="B293" i="3"/>
  <c r="U292" i="3"/>
  <c r="K292" i="3"/>
  <c r="E292" i="3"/>
  <c r="B292" i="3"/>
  <c r="U291" i="3"/>
  <c r="K291" i="3"/>
  <c r="E291" i="3"/>
  <c r="B291" i="3"/>
  <c r="U290" i="3"/>
  <c r="K290" i="3"/>
  <c r="E290" i="3"/>
  <c r="B290" i="3"/>
  <c r="U289" i="3"/>
  <c r="K289" i="3"/>
  <c r="E289" i="3"/>
  <c r="B289" i="3"/>
  <c r="U288" i="3"/>
  <c r="K288" i="3"/>
  <c r="E288" i="3"/>
  <c r="B288" i="3"/>
  <c r="U287" i="3"/>
  <c r="K287" i="3"/>
  <c r="E287" i="3"/>
  <c r="B287" i="3"/>
  <c r="U286" i="3"/>
  <c r="K286" i="3"/>
  <c r="E286" i="3"/>
  <c r="B286" i="3"/>
  <c r="U285" i="3"/>
  <c r="K285" i="3"/>
  <c r="E285" i="3"/>
  <c r="B285" i="3"/>
  <c r="U284" i="3"/>
  <c r="K284" i="3"/>
  <c r="E284" i="3"/>
  <c r="B284" i="3"/>
  <c r="U283" i="3"/>
  <c r="K283" i="3"/>
  <c r="E283" i="3"/>
  <c r="B283" i="3"/>
  <c r="U282" i="3"/>
  <c r="K282" i="3"/>
  <c r="E282" i="3"/>
  <c r="B282" i="3"/>
  <c r="U281" i="3"/>
  <c r="K281" i="3"/>
  <c r="E281" i="3"/>
  <c r="B281" i="3"/>
  <c r="U280" i="3"/>
  <c r="K280" i="3"/>
  <c r="E280" i="3"/>
  <c r="B280" i="3"/>
  <c r="U279" i="3"/>
  <c r="K279" i="3"/>
  <c r="E279" i="3"/>
  <c r="B279" i="3"/>
  <c r="U278" i="3"/>
  <c r="K278" i="3"/>
  <c r="E278" i="3"/>
  <c r="B278" i="3"/>
  <c r="U277" i="3"/>
  <c r="K277" i="3"/>
  <c r="E277" i="3"/>
  <c r="B277" i="3"/>
  <c r="U276" i="3"/>
  <c r="K276" i="3"/>
  <c r="E276" i="3"/>
  <c r="B276" i="3"/>
  <c r="U275" i="3"/>
  <c r="K275" i="3"/>
  <c r="E275" i="3"/>
  <c r="B275" i="3"/>
  <c r="U274" i="3"/>
  <c r="K274" i="3"/>
  <c r="E274" i="3"/>
  <c r="B274" i="3"/>
  <c r="U273" i="3"/>
  <c r="K273" i="3"/>
  <c r="E273" i="3"/>
  <c r="B273" i="3"/>
  <c r="U272" i="3"/>
  <c r="K272" i="3"/>
  <c r="E272" i="3"/>
  <c r="B272" i="3"/>
  <c r="K271" i="3"/>
  <c r="E271" i="3"/>
  <c r="B271" i="3"/>
  <c r="U270" i="3"/>
  <c r="K270" i="3"/>
  <c r="E270" i="3"/>
  <c r="B270" i="3"/>
  <c r="U269" i="3"/>
  <c r="K269" i="3"/>
  <c r="E269" i="3"/>
  <c r="B269" i="3"/>
  <c r="U268" i="3"/>
  <c r="K268" i="3"/>
  <c r="E268" i="3"/>
  <c r="B268" i="3"/>
  <c r="U267" i="3"/>
  <c r="K267" i="3"/>
  <c r="E267" i="3"/>
  <c r="B267" i="3"/>
  <c r="U266" i="3"/>
  <c r="K266" i="3"/>
  <c r="E266" i="3"/>
  <c r="B266" i="3"/>
  <c r="U265" i="3"/>
  <c r="K265" i="3"/>
  <c r="E265" i="3"/>
  <c r="B265" i="3"/>
  <c r="U264" i="3"/>
  <c r="K264" i="3"/>
  <c r="E264" i="3"/>
  <c r="B264" i="3"/>
  <c r="U263" i="3"/>
  <c r="K263" i="3"/>
  <c r="E263" i="3"/>
  <c r="B263" i="3"/>
  <c r="U262" i="3"/>
  <c r="K262" i="3"/>
  <c r="E262" i="3"/>
  <c r="B262" i="3"/>
  <c r="U261" i="3"/>
  <c r="K261" i="3"/>
  <c r="E261" i="3"/>
  <c r="B261" i="3"/>
  <c r="U260" i="3"/>
  <c r="K260" i="3"/>
  <c r="E260" i="3"/>
  <c r="B260" i="3"/>
  <c r="U259" i="3"/>
  <c r="K259" i="3"/>
  <c r="E259" i="3"/>
  <c r="B259" i="3"/>
  <c r="U258" i="3"/>
  <c r="K258" i="3"/>
  <c r="E258" i="3"/>
  <c r="B258" i="3"/>
  <c r="U257" i="3"/>
  <c r="K257" i="3"/>
  <c r="E257" i="3"/>
  <c r="B257" i="3"/>
  <c r="U256" i="3"/>
  <c r="K256" i="3"/>
  <c r="E256" i="3"/>
  <c r="B256" i="3"/>
  <c r="U255" i="3"/>
  <c r="K255" i="3"/>
  <c r="E255" i="3"/>
  <c r="B255" i="3"/>
  <c r="U254" i="3"/>
  <c r="K254" i="3"/>
  <c r="E254" i="3"/>
  <c r="B254" i="3"/>
  <c r="U253" i="3"/>
  <c r="K253" i="3"/>
  <c r="E253" i="3"/>
  <c r="B253" i="3"/>
  <c r="U252" i="3"/>
  <c r="K252" i="3"/>
  <c r="E252" i="3"/>
  <c r="B252" i="3"/>
  <c r="U251" i="3"/>
  <c r="K251" i="3"/>
  <c r="E251" i="3"/>
  <c r="B251" i="3"/>
  <c r="U250" i="3"/>
  <c r="K250" i="3"/>
  <c r="E250" i="3"/>
  <c r="B250" i="3"/>
  <c r="U249" i="3"/>
  <c r="K249" i="3"/>
  <c r="E249" i="3"/>
  <c r="B249" i="3"/>
  <c r="U248" i="3"/>
  <c r="K248" i="3"/>
  <c r="E248" i="3"/>
  <c r="B248" i="3"/>
  <c r="U247" i="3"/>
  <c r="K247" i="3"/>
  <c r="E247" i="3"/>
  <c r="B247" i="3"/>
  <c r="U246" i="3"/>
  <c r="K246" i="3"/>
  <c r="E246" i="3"/>
  <c r="B246" i="3"/>
  <c r="U245" i="3"/>
  <c r="K245" i="3"/>
  <c r="E245" i="3"/>
  <c r="B245" i="3"/>
  <c r="U244" i="3"/>
  <c r="K244" i="3"/>
  <c r="E244" i="3"/>
  <c r="B244" i="3"/>
  <c r="U243" i="3"/>
  <c r="K243" i="3"/>
  <c r="E243" i="3"/>
  <c r="B243" i="3"/>
  <c r="U242" i="3"/>
  <c r="K242" i="3"/>
  <c r="E242" i="3"/>
  <c r="B242" i="3"/>
  <c r="U241" i="3"/>
  <c r="K241" i="3"/>
  <c r="E241" i="3"/>
  <c r="B241" i="3"/>
  <c r="U240" i="3"/>
  <c r="K240" i="3"/>
  <c r="E240" i="3"/>
  <c r="B240" i="3"/>
  <c r="U239" i="3"/>
  <c r="K239" i="3"/>
  <c r="E239" i="3"/>
  <c r="B239" i="3"/>
  <c r="U238" i="3"/>
  <c r="K238" i="3"/>
  <c r="E238" i="3"/>
  <c r="B238" i="3"/>
  <c r="U237" i="3"/>
  <c r="K237" i="3"/>
  <c r="E237" i="3"/>
  <c r="B237" i="3"/>
  <c r="U236" i="3"/>
  <c r="K236" i="3"/>
  <c r="E236" i="3"/>
  <c r="B236" i="3"/>
  <c r="U235" i="3"/>
  <c r="K235" i="3"/>
  <c r="E235" i="3"/>
  <c r="B235" i="3"/>
  <c r="U234" i="3"/>
  <c r="K234" i="3"/>
  <c r="E234" i="3"/>
  <c r="B234" i="3"/>
  <c r="U233" i="3"/>
  <c r="K233" i="3"/>
  <c r="E233" i="3"/>
  <c r="B233" i="3"/>
  <c r="U232" i="3"/>
  <c r="K232" i="3"/>
  <c r="E232" i="3"/>
  <c r="B232" i="3"/>
  <c r="U231" i="3"/>
  <c r="K231" i="3"/>
  <c r="E231" i="3"/>
  <c r="B231" i="3"/>
  <c r="U230" i="3"/>
  <c r="K230" i="3"/>
  <c r="E230" i="3"/>
  <c r="B230" i="3"/>
  <c r="U229" i="3"/>
  <c r="K229" i="3"/>
  <c r="E229" i="3"/>
  <c r="B229" i="3"/>
  <c r="U228" i="3"/>
  <c r="K228" i="3"/>
  <c r="E228" i="3"/>
  <c r="B228" i="3"/>
  <c r="U227" i="3"/>
  <c r="K227" i="3"/>
  <c r="E227" i="3"/>
  <c r="B227" i="3"/>
  <c r="U226" i="3"/>
  <c r="K226" i="3"/>
  <c r="E226" i="3"/>
  <c r="B226" i="3"/>
  <c r="U225" i="3"/>
  <c r="K225" i="3"/>
  <c r="E225" i="3"/>
  <c r="B225" i="3"/>
  <c r="U224" i="3"/>
  <c r="K224" i="3"/>
  <c r="E224" i="3"/>
  <c r="B224" i="3"/>
  <c r="U223" i="3"/>
  <c r="K223" i="3"/>
  <c r="E223" i="3"/>
  <c r="B223" i="3"/>
  <c r="U222" i="3"/>
  <c r="K222" i="3"/>
  <c r="E222" i="3"/>
  <c r="B222" i="3"/>
  <c r="U221" i="3"/>
  <c r="K221" i="3"/>
  <c r="E221" i="3"/>
  <c r="B221" i="3"/>
  <c r="U220" i="3"/>
  <c r="K220" i="3"/>
  <c r="E220" i="3"/>
  <c r="B220" i="3"/>
  <c r="U219" i="3"/>
  <c r="K219" i="3"/>
  <c r="E219" i="3"/>
  <c r="B219" i="3"/>
  <c r="U218" i="3"/>
  <c r="K218" i="3"/>
  <c r="E218" i="3"/>
  <c r="B218" i="3"/>
  <c r="U217" i="3"/>
  <c r="K217" i="3"/>
  <c r="E217" i="3"/>
  <c r="B217" i="3"/>
  <c r="U216" i="3"/>
  <c r="K216" i="3"/>
  <c r="E216" i="3"/>
  <c r="B216" i="3"/>
  <c r="U215" i="3"/>
  <c r="K215" i="3"/>
  <c r="E215" i="3"/>
  <c r="B215" i="3"/>
  <c r="U214" i="3"/>
  <c r="K214" i="3"/>
  <c r="E214" i="3"/>
  <c r="B214" i="3"/>
  <c r="U213" i="3"/>
  <c r="K213" i="3"/>
  <c r="E213" i="3"/>
  <c r="B213" i="3"/>
  <c r="U212" i="3"/>
  <c r="K212" i="3"/>
  <c r="E212" i="3"/>
  <c r="B212" i="3"/>
  <c r="U211" i="3"/>
  <c r="K211" i="3"/>
  <c r="E211" i="3"/>
  <c r="B211" i="3"/>
  <c r="U210" i="3"/>
  <c r="K210" i="3"/>
  <c r="E210" i="3"/>
  <c r="B210" i="3"/>
  <c r="K209" i="3"/>
  <c r="E209" i="3"/>
  <c r="B209" i="3"/>
  <c r="U208" i="3"/>
  <c r="K208" i="3"/>
  <c r="E208" i="3"/>
  <c r="B208" i="3"/>
  <c r="U207" i="3"/>
  <c r="K207" i="3"/>
  <c r="E207" i="3"/>
  <c r="B207" i="3"/>
  <c r="U206" i="3"/>
  <c r="K206" i="3"/>
  <c r="E206" i="3"/>
  <c r="B206" i="3"/>
  <c r="U205" i="3"/>
  <c r="K205" i="3"/>
  <c r="E205" i="3"/>
  <c r="B205" i="3"/>
  <c r="U204" i="3"/>
  <c r="K204" i="3"/>
  <c r="E204" i="3"/>
  <c r="B204" i="3"/>
  <c r="U203" i="3"/>
  <c r="K203" i="3"/>
  <c r="E203" i="3"/>
  <c r="B203" i="3"/>
  <c r="U202" i="3"/>
  <c r="K202" i="3"/>
  <c r="E202" i="3"/>
  <c r="B202" i="3"/>
  <c r="U201" i="3"/>
  <c r="K201" i="3"/>
  <c r="E201" i="3"/>
  <c r="B201" i="3"/>
  <c r="U200" i="3"/>
  <c r="K200" i="3"/>
  <c r="E200" i="3"/>
  <c r="B200" i="3"/>
  <c r="U199" i="3"/>
  <c r="K199" i="3"/>
  <c r="E199" i="3"/>
  <c r="B199" i="3"/>
  <c r="U198" i="3"/>
  <c r="K198" i="3"/>
  <c r="E198" i="3"/>
  <c r="B198" i="3"/>
  <c r="U197" i="3"/>
  <c r="K197" i="3"/>
  <c r="E197" i="3"/>
  <c r="B197" i="3"/>
  <c r="U196" i="3"/>
  <c r="K196" i="3"/>
  <c r="E196" i="3"/>
  <c r="B196" i="3"/>
  <c r="U195" i="3"/>
  <c r="K195" i="3"/>
  <c r="E195" i="3"/>
  <c r="B195" i="3"/>
  <c r="U194" i="3"/>
  <c r="K194" i="3"/>
  <c r="E194" i="3"/>
  <c r="B194" i="3"/>
  <c r="U193" i="3"/>
  <c r="K193" i="3"/>
  <c r="E193" i="3"/>
  <c r="B193" i="3"/>
  <c r="U192" i="3"/>
  <c r="K192" i="3"/>
  <c r="E192" i="3"/>
  <c r="B192" i="3"/>
  <c r="U191" i="3"/>
  <c r="K191" i="3"/>
  <c r="E191" i="3"/>
  <c r="B191" i="3"/>
  <c r="U190" i="3"/>
  <c r="K190" i="3"/>
  <c r="E190" i="3"/>
  <c r="B190" i="3"/>
  <c r="U189" i="3"/>
  <c r="K189" i="3"/>
  <c r="E189" i="3"/>
  <c r="B189" i="3"/>
  <c r="U188" i="3"/>
  <c r="K188" i="3"/>
  <c r="E188" i="3"/>
  <c r="B188" i="3"/>
  <c r="U187" i="3"/>
  <c r="K187" i="3"/>
  <c r="E187" i="3"/>
  <c r="B187" i="3"/>
  <c r="U186" i="3"/>
  <c r="K186" i="3"/>
  <c r="E186" i="3"/>
  <c r="B186" i="3"/>
  <c r="U185" i="3"/>
  <c r="K185" i="3"/>
  <c r="E185" i="3"/>
  <c r="B185" i="3"/>
  <c r="U184" i="3"/>
  <c r="K184" i="3"/>
  <c r="E184" i="3"/>
  <c r="B184" i="3"/>
  <c r="U183" i="3"/>
  <c r="K183" i="3"/>
  <c r="E183" i="3"/>
  <c r="B183" i="3"/>
  <c r="U182" i="3"/>
  <c r="K182" i="3"/>
  <c r="E182" i="3"/>
  <c r="B182" i="3"/>
  <c r="U181" i="3"/>
  <c r="K181" i="3"/>
  <c r="H181" i="3"/>
  <c r="E181" i="3"/>
  <c r="B181" i="3"/>
  <c r="U180" i="3"/>
  <c r="K180" i="3"/>
  <c r="E180" i="3"/>
  <c r="B180" i="3"/>
  <c r="U179" i="3"/>
  <c r="K179" i="3"/>
  <c r="E179" i="3"/>
  <c r="B179" i="3"/>
  <c r="U178" i="3"/>
  <c r="K178" i="3"/>
  <c r="E178" i="3"/>
  <c r="B178" i="3"/>
  <c r="U177" i="3"/>
  <c r="K177" i="3"/>
  <c r="E177" i="3"/>
  <c r="B177" i="3"/>
  <c r="U176" i="3"/>
  <c r="K176" i="3"/>
  <c r="E176" i="3"/>
  <c r="B176" i="3"/>
  <c r="U175" i="3"/>
  <c r="K175" i="3"/>
  <c r="E175" i="3"/>
  <c r="B175" i="3"/>
  <c r="U174" i="3"/>
  <c r="K174" i="3"/>
  <c r="E174" i="3"/>
  <c r="B174" i="3"/>
  <c r="U173" i="3"/>
  <c r="K173" i="3"/>
  <c r="E173" i="3"/>
  <c r="B173" i="3"/>
  <c r="U172" i="3"/>
  <c r="K172" i="3"/>
  <c r="E172" i="3"/>
  <c r="B172" i="3"/>
  <c r="U171" i="3"/>
  <c r="K171" i="3"/>
  <c r="E171" i="3"/>
  <c r="B171" i="3"/>
  <c r="U170" i="3"/>
  <c r="K170" i="3"/>
  <c r="E170" i="3"/>
  <c r="B170" i="3"/>
  <c r="U169" i="3"/>
  <c r="K169" i="3"/>
  <c r="E169" i="3"/>
  <c r="B169" i="3"/>
  <c r="U168" i="3"/>
  <c r="K168" i="3"/>
  <c r="E168" i="3"/>
  <c r="B168" i="3"/>
  <c r="U167" i="3"/>
  <c r="K167" i="3"/>
  <c r="E167" i="3"/>
  <c r="B167" i="3"/>
  <c r="U166" i="3"/>
  <c r="K166" i="3"/>
  <c r="E166" i="3"/>
  <c r="B166" i="3"/>
  <c r="U165" i="3"/>
  <c r="K165" i="3"/>
  <c r="E165" i="3"/>
  <c r="B165" i="3"/>
  <c r="U164" i="3"/>
  <c r="K164" i="3"/>
  <c r="E164" i="3"/>
  <c r="B164" i="3"/>
  <c r="U163" i="3"/>
  <c r="K163" i="3"/>
  <c r="E163" i="3"/>
  <c r="B163" i="3"/>
  <c r="U162" i="3"/>
  <c r="K162" i="3"/>
  <c r="E162" i="3"/>
  <c r="B162" i="3"/>
  <c r="U161" i="3"/>
  <c r="K161" i="3"/>
  <c r="E161" i="3"/>
  <c r="B161" i="3"/>
  <c r="U160" i="3"/>
  <c r="K160" i="3"/>
  <c r="E160" i="3"/>
  <c r="B160" i="3"/>
  <c r="U159" i="3"/>
  <c r="K159" i="3"/>
  <c r="E159" i="3"/>
  <c r="B159" i="3"/>
  <c r="U158" i="3"/>
  <c r="K158" i="3"/>
  <c r="E158" i="3"/>
  <c r="B158" i="3"/>
  <c r="U157" i="3"/>
  <c r="K157" i="3"/>
  <c r="E157" i="3"/>
  <c r="B157" i="3"/>
  <c r="U156" i="3"/>
  <c r="K156" i="3"/>
  <c r="E156" i="3"/>
  <c r="B156" i="3"/>
  <c r="U155" i="3"/>
  <c r="K155" i="3"/>
  <c r="E155" i="3"/>
  <c r="B155" i="3"/>
  <c r="U154" i="3"/>
  <c r="K154" i="3"/>
  <c r="E154" i="3"/>
  <c r="B154" i="3"/>
  <c r="U153" i="3"/>
  <c r="K153" i="3"/>
  <c r="E153" i="3"/>
  <c r="B153" i="3"/>
  <c r="U152" i="3"/>
  <c r="K152" i="3"/>
  <c r="E152" i="3"/>
  <c r="B152" i="3"/>
  <c r="U151" i="3"/>
  <c r="K151" i="3"/>
  <c r="E151" i="3"/>
  <c r="B151" i="3"/>
  <c r="U150" i="3"/>
  <c r="K150" i="3"/>
  <c r="E150" i="3"/>
  <c r="B150" i="3"/>
  <c r="U149" i="3"/>
  <c r="K149" i="3"/>
  <c r="E149" i="3"/>
  <c r="B149" i="3"/>
  <c r="U148" i="3"/>
  <c r="K148" i="3"/>
  <c r="E148" i="3"/>
  <c r="B148" i="3"/>
  <c r="U147" i="3"/>
  <c r="K147" i="3"/>
  <c r="E147" i="3"/>
  <c r="B147" i="3"/>
  <c r="U146" i="3"/>
  <c r="K146" i="3"/>
  <c r="E146" i="3"/>
  <c r="B146" i="3"/>
  <c r="U145" i="3"/>
  <c r="K145" i="3"/>
  <c r="E145" i="3"/>
  <c r="B145" i="3"/>
  <c r="U144" i="3"/>
  <c r="K144" i="3"/>
  <c r="E144" i="3"/>
  <c r="B144" i="3"/>
  <c r="U143" i="3"/>
  <c r="K143" i="3"/>
  <c r="E143" i="3"/>
  <c r="B143" i="3"/>
  <c r="U142" i="3"/>
  <c r="K142" i="3"/>
  <c r="E142" i="3"/>
  <c r="B142" i="3"/>
  <c r="U141" i="3"/>
  <c r="K141" i="3"/>
  <c r="E141" i="3"/>
  <c r="B141" i="3"/>
  <c r="U140" i="3"/>
  <c r="K140" i="3"/>
  <c r="E140" i="3"/>
  <c r="B140" i="3"/>
  <c r="U139" i="3"/>
  <c r="K139" i="3"/>
  <c r="E139" i="3"/>
  <c r="B139" i="3"/>
  <c r="U138" i="3"/>
  <c r="K138" i="3"/>
  <c r="E138" i="3"/>
  <c r="B138" i="3"/>
  <c r="U137" i="3"/>
  <c r="K137" i="3"/>
  <c r="E137" i="3"/>
  <c r="B137" i="3"/>
  <c r="U136" i="3"/>
  <c r="K136" i="3"/>
  <c r="E136" i="3"/>
  <c r="B136" i="3"/>
  <c r="U135" i="3"/>
  <c r="K135" i="3"/>
  <c r="E135" i="3"/>
  <c r="B135" i="3"/>
  <c r="U134" i="3"/>
  <c r="K134" i="3"/>
  <c r="E134" i="3"/>
  <c r="B134" i="3"/>
  <c r="U133" i="3"/>
  <c r="K133" i="3"/>
  <c r="E133" i="3"/>
  <c r="B133" i="3"/>
  <c r="U132" i="3"/>
  <c r="K132" i="3"/>
  <c r="E132" i="3"/>
  <c r="B132" i="3"/>
  <c r="U131" i="3"/>
  <c r="K131" i="3"/>
  <c r="E131" i="3"/>
  <c r="B131" i="3"/>
  <c r="U130" i="3"/>
  <c r="K130" i="3"/>
  <c r="E130" i="3"/>
  <c r="B130" i="3"/>
  <c r="U129" i="3"/>
  <c r="K129" i="3"/>
  <c r="E129" i="3"/>
  <c r="B129" i="3"/>
  <c r="U128" i="3"/>
  <c r="K128" i="3"/>
  <c r="E128" i="3"/>
  <c r="B128" i="3"/>
  <c r="U127" i="3"/>
  <c r="K127" i="3"/>
  <c r="E127" i="3"/>
  <c r="B127" i="3"/>
  <c r="U126" i="3"/>
  <c r="K126" i="3"/>
  <c r="E126" i="3"/>
  <c r="B126" i="3"/>
  <c r="U125" i="3"/>
  <c r="K125" i="3"/>
  <c r="E125" i="3"/>
  <c r="B125" i="3"/>
  <c r="U124" i="3"/>
  <c r="K124" i="3"/>
  <c r="E124" i="3"/>
  <c r="B124" i="3"/>
  <c r="U123" i="3"/>
  <c r="K123" i="3"/>
  <c r="E123" i="3"/>
  <c r="B123" i="3"/>
  <c r="U122" i="3"/>
  <c r="K122" i="3"/>
  <c r="E122" i="3"/>
  <c r="B122" i="3"/>
  <c r="U121" i="3"/>
  <c r="K121" i="3"/>
  <c r="E121" i="3"/>
  <c r="B121" i="3"/>
  <c r="U120" i="3"/>
  <c r="K120" i="3"/>
  <c r="E120" i="3"/>
  <c r="B120" i="3"/>
  <c r="U119" i="3"/>
  <c r="K119" i="3"/>
  <c r="E119" i="3"/>
  <c r="B119" i="3"/>
  <c r="U118" i="3"/>
  <c r="K118" i="3"/>
  <c r="E118" i="3"/>
  <c r="B118" i="3"/>
  <c r="U117" i="3"/>
  <c r="K117" i="3"/>
  <c r="E117" i="3"/>
  <c r="B117" i="3"/>
  <c r="U116" i="3"/>
  <c r="K116" i="3"/>
  <c r="E116" i="3"/>
  <c r="B116" i="3"/>
  <c r="U115" i="3"/>
  <c r="K115" i="3"/>
  <c r="E115" i="3"/>
  <c r="B115" i="3"/>
  <c r="U114" i="3"/>
  <c r="K114" i="3"/>
  <c r="E114" i="3"/>
  <c r="B114" i="3"/>
  <c r="U113" i="3"/>
  <c r="K113" i="3"/>
  <c r="E113" i="3"/>
  <c r="B113" i="3"/>
  <c r="U112" i="3"/>
  <c r="K112" i="3"/>
  <c r="E112" i="3"/>
  <c r="B112" i="3"/>
  <c r="U111" i="3"/>
  <c r="K111" i="3"/>
  <c r="E111" i="3"/>
  <c r="B111" i="3"/>
  <c r="U110" i="3"/>
  <c r="K110" i="3"/>
  <c r="E110" i="3"/>
  <c r="B110" i="3"/>
  <c r="U109" i="3"/>
  <c r="K109" i="3"/>
  <c r="E109" i="3"/>
  <c r="B109" i="3"/>
  <c r="U108" i="3"/>
  <c r="K108" i="3"/>
  <c r="E108" i="3"/>
  <c r="B108" i="3"/>
  <c r="U107" i="3"/>
  <c r="K107" i="3"/>
  <c r="E107" i="3"/>
  <c r="B107" i="3"/>
  <c r="U106" i="3"/>
  <c r="K106" i="3"/>
  <c r="E106" i="3"/>
  <c r="B106" i="3"/>
  <c r="U105" i="3"/>
  <c r="K105" i="3"/>
  <c r="E105" i="3"/>
  <c r="B105" i="3"/>
  <c r="U104" i="3"/>
  <c r="K104" i="3"/>
  <c r="E104" i="3"/>
  <c r="B104" i="3"/>
  <c r="U103" i="3"/>
  <c r="K103" i="3"/>
  <c r="E103" i="3"/>
  <c r="B103" i="3"/>
  <c r="U102" i="3"/>
  <c r="K102" i="3"/>
  <c r="E102" i="3"/>
  <c r="B102" i="3"/>
  <c r="U101" i="3"/>
  <c r="K101" i="3"/>
  <c r="E101" i="3"/>
  <c r="B101" i="3"/>
  <c r="U100" i="3"/>
  <c r="K100" i="3"/>
  <c r="E100" i="3"/>
  <c r="B100" i="3"/>
  <c r="U99" i="3"/>
  <c r="K99" i="3"/>
  <c r="E99" i="3"/>
  <c r="B99" i="3"/>
  <c r="U98" i="3"/>
  <c r="K98" i="3"/>
  <c r="E98" i="3"/>
  <c r="B98" i="3"/>
  <c r="U97" i="3"/>
  <c r="K97" i="3"/>
  <c r="E97" i="3"/>
  <c r="B97" i="3"/>
  <c r="U96" i="3"/>
  <c r="K96" i="3"/>
  <c r="E96" i="3"/>
  <c r="B96" i="3"/>
  <c r="U95" i="3"/>
  <c r="K95" i="3"/>
  <c r="E95" i="3"/>
  <c r="B95" i="3"/>
  <c r="U94" i="3"/>
  <c r="K94" i="3"/>
  <c r="E94" i="3"/>
  <c r="B94" i="3"/>
  <c r="U93" i="3"/>
  <c r="K93" i="3"/>
  <c r="E93" i="3"/>
  <c r="B93" i="3"/>
  <c r="K92" i="3"/>
  <c r="E92" i="3"/>
  <c r="B92" i="3"/>
  <c r="U91" i="3"/>
  <c r="K91" i="3"/>
  <c r="E91" i="3"/>
  <c r="B91" i="3"/>
  <c r="U90" i="3"/>
  <c r="K90" i="3"/>
  <c r="E90" i="3"/>
  <c r="B90" i="3"/>
  <c r="U89" i="3"/>
  <c r="K89" i="3"/>
  <c r="E89" i="3"/>
  <c r="B89" i="3"/>
  <c r="U88" i="3"/>
  <c r="K88" i="3"/>
  <c r="E88" i="3"/>
  <c r="B88" i="3"/>
  <c r="U87" i="3"/>
  <c r="K87" i="3"/>
  <c r="E87" i="3"/>
  <c r="B87" i="3"/>
  <c r="U86" i="3"/>
  <c r="K86" i="3"/>
  <c r="E86" i="3"/>
  <c r="B86" i="3"/>
  <c r="U85" i="3"/>
  <c r="K85" i="3"/>
  <c r="E85" i="3"/>
  <c r="B85" i="3"/>
  <c r="U84" i="3"/>
  <c r="K84" i="3"/>
  <c r="E84" i="3"/>
  <c r="B84" i="3"/>
  <c r="U83" i="3"/>
  <c r="K83" i="3"/>
  <c r="E83" i="3"/>
  <c r="B83" i="3"/>
  <c r="U82" i="3"/>
  <c r="K82" i="3"/>
  <c r="E82" i="3"/>
  <c r="B82" i="3"/>
  <c r="U81" i="3"/>
  <c r="K81" i="3"/>
  <c r="E81" i="3"/>
  <c r="B81" i="3"/>
  <c r="U80" i="3"/>
  <c r="K80" i="3"/>
  <c r="E80" i="3"/>
  <c r="B80" i="3"/>
  <c r="U79" i="3"/>
  <c r="K79" i="3"/>
  <c r="E79" i="3"/>
  <c r="B79" i="3"/>
  <c r="U78" i="3"/>
  <c r="K78" i="3"/>
  <c r="E78" i="3"/>
  <c r="B78" i="3"/>
  <c r="U77" i="3"/>
  <c r="K77" i="3"/>
  <c r="E77" i="3"/>
  <c r="B77" i="3"/>
  <c r="U76" i="3"/>
  <c r="K76" i="3"/>
  <c r="E76" i="3"/>
  <c r="B76" i="3"/>
  <c r="U75" i="3"/>
  <c r="K75" i="3"/>
  <c r="E75" i="3"/>
  <c r="B75" i="3"/>
  <c r="U74" i="3"/>
  <c r="K74" i="3"/>
  <c r="E74" i="3"/>
  <c r="B74" i="3"/>
  <c r="U73" i="3"/>
  <c r="K73" i="3"/>
  <c r="E73" i="3"/>
  <c r="B73" i="3"/>
  <c r="U72" i="3"/>
  <c r="K72" i="3"/>
  <c r="E72" i="3"/>
  <c r="B72" i="3"/>
  <c r="U71" i="3"/>
  <c r="K71" i="3"/>
  <c r="E71" i="3"/>
  <c r="B71" i="3"/>
  <c r="U70" i="3"/>
  <c r="K70" i="3"/>
  <c r="E70" i="3"/>
  <c r="B70" i="3"/>
  <c r="U69" i="3"/>
  <c r="K69" i="3"/>
  <c r="E69" i="3"/>
  <c r="B69" i="3"/>
  <c r="U68" i="3"/>
  <c r="K68" i="3"/>
  <c r="E68" i="3"/>
  <c r="B68" i="3"/>
  <c r="U67" i="3"/>
  <c r="K67" i="3"/>
  <c r="E67" i="3"/>
  <c r="B67" i="3"/>
  <c r="U66" i="3"/>
  <c r="K66" i="3"/>
  <c r="E66" i="3"/>
  <c r="B66" i="3"/>
  <c r="U65" i="3"/>
  <c r="K65" i="3"/>
  <c r="E65" i="3"/>
  <c r="B65" i="3"/>
  <c r="U64" i="3"/>
  <c r="K64" i="3"/>
  <c r="E64" i="3"/>
  <c r="B64" i="3"/>
  <c r="U63" i="3"/>
  <c r="K63" i="3"/>
  <c r="E63" i="3"/>
  <c r="B63" i="3"/>
  <c r="U62" i="3"/>
  <c r="K62" i="3"/>
  <c r="E62" i="3"/>
  <c r="B62" i="3"/>
  <c r="U61" i="3"/>
  <c r="K61" i="3"/>
  <c r="E61" i="3"/>
  <c r="B61" i="3"/>
  <c r="U60" i="3"/>
  <c r="K60" i="3"/>
  <c r="E60" i="3"/>
  <c r="B60" i="3"/>
  <c r="U59" i="3"/>
  <c r="K59" i="3"/>
  <c r="E59" i="3"/>
  <c r="B59" i="3"/>
  <c r="U58" i="3"/>
  <c r="K58" i="3"/>
  <c r="E58" i="3"/>
  <c r="B58" i="3"/>
  <c r="U57" i="3"/>
  <c r="K57" i="3"/>
  <c r="E57" i="3"/>
  <c r="B57" i="3"/>
  <c r="U56" i="3"/>
  <c r="K56" i="3"/>
  <c r="E56" i="3"/>
  <c r="B56" i="3"/>
  <c r="U55" i="3"/>
  <c r="K55" i="3"/>
  <c r="E55" i="3"/>
  <c r="B55" i="3"/>
  <c r="U54" i="3"/>
  <c r="K54" i="3"/>
  <c r="E54" i="3"/>
  <c r="B54" i="3"/>
  <c r="U53" i="3"/>
  <c r="K53" i="3"/>
  <c r="E53" i="3"/>
  <c r="B53" i="3"/>
  <c r="U52" i="3"/>
  <c r="K52" i="3"/>
  <c r="E52" i="3"/>
  <c r="B52" i="3"/>
  <c r="U51" i="3"/>
  <c r="K51" i="3"/>
  <c r="E51" i="3"/>
  <c r="B51" i="3"/>
  <c r="U50" i="3"/>
  <c r="K50" i="3"/>
  <c r="E50" i="3"/>
  <c r="B50" i="3"/>
  <c r="U49" i="3"/>
  <c r="K49" i="3"/>
  <c r="E49" i="3"/>
  <c r="B49" i="3"/>
  <c r="U48" i="3"/>
  <c r="K48" i="3"/>
  <c r="E48" i="3"/>
  <c r="B48" i="3"/>
  <c r="U47" i="3"/>
  <c r="K47" i="3"/>
  <c r="E47" i="3"/>
  <c r="B47" i="3"/>
  <c r="U46" i="3"/>
  <c r="K46" i="3"/>
  <c r="E46" i="3"/>
  <c r="B46" i="3"/>
  <c r="U45" i="3"/>
  <c r="K45" i="3"/>
  <c r="E45" i="3"/>
  <c r="B45" i="3"/>
  <c r="U44" i="3"/>
  <c r="K44" i="3"/>
  <c r="E44" i="3"/>
  <c r="B44" i="3"/>
  <c r="U43" i="3"/>
  <c r="K43" i="3"/>
  <c r="E43" i="3"/>
  <c r="B43" i="3"/>
  <c r="U42" i="3"/>
  <c r="K42" i="3"/>
  <c r="E42" i="3"/>
  <c r="B42" i="3"/>
  <c r="U41" i="3"/>
  <c r="K41" i="3"/>
  <c r="E41" i="3"/>
  <c r="B41" i="3"/>
  <c r="U40" i="3"/>
  <c r="K40" i="3"/>
  <c r="E40" i="3"/>
  <c r="B40" i="3"/>
  <c r="U39" i="3"/>
  <c r="K39" i="3"/>
  <c r="E39" i="3"/>
  <c r="B39" i="3"/>
  <c r="U38" i="3"/>
  <c r="K38" i="3"/>
  <c r="E38" i="3"/>
  <c r="B38" i="3"/>
  <c r="U37" i="3"/>
  <c r="K37" i="3"/>
  <c r="E37" i="3"/>
  <c r="B37" i="3"/>
  <c r="U36" i="3"/>
  <c r="K36" i="3"/>
  <c r="E36" i="3"/>
  <c r="B36" i="3"/>
  <c r="U35" i="3"/>
  <c r="K35" i="3"/>
  <c r="E35" i="3"/>
  <c r="B35" i="3"/>
  <c r="U34" i="3"/>
  <c r="K34" i="3"/>
  <c r="E34" i="3"/>
  <c r="B34" i="3"/>
  <c r="U33" i="3"/>
  <c r="K33" i="3"/>
  <c r="E33" i="3"/>
  <c r="B33" i="3"/>
  <c r="U32" i="3"/>
  <c r="K32" i="3"/>
  <c r="E32" i="3"/>
  <c r="B32" i="3"/>
  <c r="U31" i="3"/>
  <c r="K31" i="3"/>
  <c r="E31" i="3"/>
  <c r="B31" i="3"/>
  <c r="U30" i="3"/>
  <c r="K30" i="3"/>
  <c r="E30" i="3"/>
  <c r="B30" i="3"/>
  <c r="U29" i="3"/>
  <c r="K29" i="3"/>
  <c r="E29" i="3"/>
  <c r="B29" i="3"/>
  <c r="U28" i="3"/>
  <c r="K28" i="3"/>
  <c r="E28" i="3"/>
  <c r="B28" i="3"/>
  <c r="U27" i="3"/>
  <c r="K27" i="3"/>
  <c r="E27" i="3"/>
  <c r="B27" i="3"/>
  <c r="U26" i="3"/>
  <c r="K26" i="3"/>
  <c r="E26" i="3"/>
  <c r="B26" i="3"/>
  <c r="U25" i="3"/>
  <c r="K25" i="3"/>
  <c r="E25" i="3"/>
  <c r="B25" i="3"/>
  <c r="U24" i="3"/>
  <c r="K24" i="3"/>
  <c r="E24" i="3"/>
  <c r="B24" i="3"/>
  <c r="U23" i="3"/>
  <c r="K23" i="3"/>
  <c r="E23" i="3"/>
  <c r="B23" i="3"/>
  <c r="U22" i="3"/>
  <c r="K22" i="3"/>
  <c r="E22" i="3"/>
  <c r="B22" i="3"/>
  <c r="U21" i="3"/>
  <c r="K21" i="3"/>
  <c r="E21" i="3"/>
  <c r="B21" i="3"/>
  <c r="U20" i="3"/>
  <c r="K20" i="3"/>
  <c r="E20" i="3"/>
  <c r="B20" i="3"/>
  <c r="U19" i="3"/>
  <c r="K19" i="3"/>
  <c r="E19" i="3"/>
  <c r="B19" i="3"/>
  <c r="U18" i="3"/>
  <c r="K18" i="3"/>
  <c r="E18" i="3"/>
  <c r="B18" i="3"/>
  <c r="U17" i="3"/>
  <c r="K17" i="3"/>
  <c r="E17" i="3"/>
  <c r="B17" i="3"/>
  <c r="U16" i="3"/>
  <c r="K16" i="3"/>
  <c r="E16" i="3"/>
  <c r="B16" i="3"/>
  <c r="U15" i="3"/>
  <c r="K15" i="3"/>
  <c r="E15" i="3"/>
  <c r="B15" i="3"/>
  <c r="U14" i="3"/>
  <c r="K14" i="3"/>
  <c r="E14" i="3"/>
  <c r="B14" i="3"/>
  <c r="U13" i="3"/>
  <c r="K13" i="3"/>
  <c r="E13" i="3"/>
  <c r="B13" i="3"/>
  <c r="U12" i="3"/>
  <c r="K12" i="3"/>
  <c r="E12" i="3"/>
  <c r="B12" i="3"/>
  <c r="U11" i="3"/>
  <c r="K11" i="3"/>
  <c r="E11" i="3"/>
  <c r="B11" i="3"/>
  <c r="U10" i="3"/>
  <c r="K10" i="3"/>
  <c r="E10" i="3"/>
  <c r="B10" i="3"/>
  <c r="U9" i="3"/>
  <c r="K9" i="3"/>
  <c r="E9" i="3"/>
  <c r="B9" i="3"/>
  <c r="U8" i="3"/>
  <c r="K8" i="3"/>
  <c r="E8" i="3"/>
  <c r="B8" i="3"/>
  <c r="U7" i="3"/>
  <c r="K7" i="3"/>
  <c r="E7" i="3"/>
  <c r="B7" i="3"/>
  <c r="U6" i="3"/>
  <c r="K6" i="3"/>
  <c r="E6" i="3"/>
  <c r="B6" i="3"/>
  <c r="U5" i="3"/>
  <c r="K5" i="3"/>
  <c r="E5" i="3"/>
  <c r="B5" i="3"/>
  <c r="U4" i="3"/>
  <c r="K4" i="3"/>
  <c r="E4" i="3"/>
  <c r="B4" i="3"/>
  <c r="U3" i="3"/>
  <c r="K3" i="3"/>
  <c r="E3" i="3"/>
  <c r="B3" i="3"/>
</calcChain>
</file>

<file path=xl/sharedStrings.xml><?xml version="1.0" encoding="utf-8"?>
<sst xmlns="http://schemas.openxmlformats.org/spreadsheetml/2006/main" count="12245" uniqueCount="7999">
  <si>
    <t>Date</t>
  </si>
  <si>
    <t>Twitter Query: "Albert Rivera" lang:es -filter:retweets -filter:replies</t>
  </si>
  <si>
    <t>User Details</t>
  </si>
  <si>
    <t>Screen Name</t>
  </si>
  <si>
    <t>Full Name</t>
  </si>
  <si>
    <t>Tweet Text</t>
  </si>
  <si>
    <t>Tweet ID</t>
  </si>
  <si>
    <t>Link(s)</t>
  </si>
  <si>
    <t>Media</t>
  </si>
  <si>
    <t>Location</t>
  </si>
  <si>
    <t>Retweets</t>
  </si>
  <si>
    <t>Favorites</t>
  </si>
  <si>
    <t>App</t>
  </si>
  <si>
    <t>Followers</t>
  </si>
  <si>
    <t>Follows</t>
  </si>
  <si>
    <t>Listed</t>
  </si>
  <si>
    <t>Verfied</t>
  </si>
  <si>
    <t>User Since</t>
  </si>
  <si>
    <t>Bio</t>
  </si>
  <si>
    <t>Website</t>
  </si>
  <si>
    <t>Timezone</t>
  </si>
  <si>
    <t>Profile Image</t>
  </si>
  <si>
    <t>Paula Nogales R. 🇮🇨🎗️</t>
  </si>
  <si>
    <t>Yo solo veo españoles, @Albert_Rivera 😏 Cuando se le otorga a un nombre propio un sufijo, sobre todo -ISMO,se le aplica el proceso semántico de la antonomasia, y eso, para bien o mal, engrandece el nombre modificado. A ver si se lo piensan antes d sacar otro hashtag mierder,tú. RT @CiudadanosCs: #SanchismoEs llegar al poder por la puerta de atrás predicando “dignidad” y que en apenas 100 días te dimitan dos ministros y otros cuatro estén en la cuerda floja por estar reprobados o por incumplir el código ético de tu partido.</t>
  </si>
  <si>
    <t>https://twitter.com/CiudadanosCs/status/1065943158192840704</t>
  </si>
  <si>
    <t>https://pbs.twimg.com/media/Dsr9nCZXgAAH90r.jpg</t>
  </si>
  <si>
    <t>Las Palmas de Gran Canaria.</t>
  </si>
  <si>
    <t>Too old for this shit, man. Si quieres, búscame en google. #Asperger #autismo #poesía #literatura #feminismo #gender #Canarias -what a rebumbio!</t>
  </si>
  <si>
    <t>http://aspercan-asociacion-asperger-canarias.blogspot.com.es/</t>
  </si>
  <si>
    <t>Miguel Pérez López</t>
  </si>
  <si>
    <t>Es imposible echar a un funcionario en España aunque roben y este probado: tan sólo 500 inhabilitaciones desde 1996 @UEmadrid @CasaReal @sanchezcastejon @pablocasado_ @Pablo_Iglesias_ @Albert_Rivera  vía @libre_mercado</t>
  </si>
  <si>
    <t>https://www.libremercado.com/2018-11-23/es-imposible-echar-a-un-funcionario-en-espana-tan-solo-500-inhabilitaciones-desde-1996-1276628683/</t>
  </si>
  <si>
    <t>ingeniero Tecnico Diseño Industrial,collecting information Divulgador o recolector de Noticias,tendencias tecnologicas, marketing y productos</t>
  </si>
  <si>
    <t>Isabel Cabezas</t>
  </si>
  <si>
    <t>Es lo básico .... #Suspenso🍊 Comprobamos el interés de @Albert_Rivera y C’s por Córdoba ! 🗣La Giralda está en Sevilla RT @pp_cordoba: 🍿Todos sabíamos que los @CiudadanosCs de Albert nada tenían que ver con Córdoba, pero gracias por dejarlo claro👇</t>
  </si>
  <si>
    <t>https://twitter.com/pp_cordoba/status/1065929782720897025
https://sevilla.abc.es/andalucia/cordoba/sevi-miembros-ciudadanos-confunden-catedral-cordoba-homologa-argentina-201811231111_noticia.html#ns_campaign=amp-rrss-inducido&amp;ns_mchannel=abcdesevilla-es&amp;ns_source=tw&amp;ns_linkname=noticia.foto&amp;ns_fee=0</t>
  </si>
  <si>
    <t>✅</t>
  </si>
  <si>
    <t>España</t>
  </si>
  <si>
    <t>https://twitter.com/gerardgomezf/status/1065662717082652675</t>
  </si>
  <si>
    <t>Portavoz del PP de Fuente Obejuna,Diputada Nacional por Córdoba, Portavoz Adjunta comisión de Sanidad,Portavoz adj. Modeló Policial Siglo XXI</t>
  </si>
  <si>
    <t>pic.twitter.com/huVtSVJL5p</t>
  </si>
  <si>
    <t>Jaime Bustillo</t>
  </si>
  <si>
    <t>Revientan violentamente un acto del @PSOE en Sevilla. @pablocasado_ y @Albert_Rivera dirán ¿Cómo es posible?</t>
  </si>
  <si>
    <t>Melilla</t>
  </si>
  <si>
    <t>Faldo</t>
  </si>
  <si>
    <t>No hay nadie al volante de @CiudadanosCs @Albert_Rivera RT @cunadometro: ¿Me estáis diciendo en serio que Ciudadanos se presenta en Córdoba y usa en su campaña imágenes de la catedral de Córdoba......... DE ARGENTINA? Ya os imaginàis lo que conocen y les importa Córdoba. ¿En @CiudadanosCs buscáis caa día nuevas formas de hacer el ridículo?</t>
  </si>
  <si>
    <t>https://twitter.com/cunadometro/status/1065906645413318656</t>
  </si>
  <si>
    <t>https://pbs.twimg.com/media/DsrcOwYWwAELx69.jpg</t>
  </si>
  <si>
    <t>Trópico de Cáncer</t>
  </si>
  <si>
    <t>tengo una habitación en llamas, por un fuego que no es el mío</t>
  </si>
  <si>
    <t>http://instagram.com/ubaldosg96</t>
  </si>
  <si>
    <t>Maribel Martinez</t>
  </si>
  <si>
    <t>Tipos que por lo visto tampoco aprendieron historia, seguro que ese día hicieron pellas. Aquí los chicos de @Albert_Rivera confundiendo la catedral de Cordoba-Argentina con nuestra Mezquita. Cuanto cenutrio hay por ahí suelto</t>
  </si>
  <si>
    <t>https://pbs.twimg.com/media/Dssi_ETXgAAfbWz.jpg</t>
  </si>
  <si>
    <t>Zaragoza España</t>
  </si>
  <si>
    <t>Mi escenario es la calle y ahí me encontraras trabajando en las luchas en las que creo desde Zaragoza en Común. Feminista, ecologista, de izquierdas. No cambio</t>
  </si>
  <si>
    <t>Akahíge</t>
  </si>
  <si>
    <t>Mientras los políticos de izquierdas no critiquéis las mentiras de la "prensa" de izquierdas sobre la derecha y la derecha haga lo mismo con su "prensa" y las mentiras sobre la izquierda no arreglaremos nada. @Pablo_Iglesias_ @pablocasado_ @sanchezcastejon @Albert_Rivera #verdad</t>
  </si>
  <si>
    <t>INMA LARICITOS</t>
  </si>
  <si>
    <t>I love this game</t>
  </si>
  <si>
    <t>Estado civil: cansada</t>
  </si>
  <si>
    <t>itxasocg</t>
  </si>
  <si>
    <t>Cuando leo apelativos como: "golpistas", "secesionistas", "enemigos de la patria"...pienso en la política económica de su partido, @Albert_Rivera. Defendiendo esos intereses, usted es el terrorista social. Nos desprecia. RT @Albert_Rivera: Será un honor contar este sábado con Ignacio Gordillo en la concentración de @ESPCiudadana contra los indultos a golpistas y por #EleccionesYa. Uno de los mejores juristas de España y fiscal durante 30 años en la Audiencia Nacional. ¡Os esperamos! 🇪🇸</t>
  </si>
  <si>
    <t>https://twitter.com/Albert_Rivera/status/1065674424341446657
https://www.europapress.es/nacional/noticia-rivera-exfiscal-ignacio-gordillo-frente-acto-sabado-madrid-contra-indultos-independentistas-20181122164813.html</t>
  </si>
  <si>
    <t>https://twitter.com/La_SER/status/1065154211707404288
http://cadenaser.com/programa/2018/11/20/hoy_por_hoy/1542712340_800654.html</t>
  </si>
  <si>
    <t>https://pbs.twimg.com/media/DsgwGuqU8AEeA9d.jpg</t>
  </si>
  <si>
    <t>Huelva, España</t>
  </si>
  <si>
    <t>Somos el grito de las que ya no tienen voz. @ColombineFem</t>
  </si>
  <si>
    <t>Canarias</t>
  </si>
  <si>
    <t>Miguel Barranco</t>
  </si>
  <si>
    <t>¿Cómo es que Albert Rivera "no es analista político" para decir si Vox es ultraderecha y sí lo es para calificar de golpista a Puigdemont, de bolivariano a Pablo Iglesias, de traidor a Sánchez, y otras barbaridades? Es un síntoma que solo lo crean, divulguen y protejan los medios</t>
  </si>
  <si>
    <t>RTVE Comunicación</t>
  </si>
  <si>
    <t>📺@Albert_Rivera, presidente de @CiudadanosCs en los @Desayunos_tve @tve_tve con @xabierfortes #desayuno con #albertrivera 👉Jueves 22 de noviembre ⏰08:30 en @La1_tve y @24h_tve</t>
  </si>
  <si>
    <t>http://www.rtve.es/rtve/20181121/albert-rivera-este-jueves-desayunos-tve/1841680.shtml</t>
  </si>
  <si>
    <t>https://pbs.twimg.com/media/DsiZqE-WsAIByhv.jpg</t>
  </si>
  <si>
    <t>Barcelona</t>
  </si>
  <si>
    <t>Datos → información; información → conocimiento; conocimiento → sabiduría. La sabiduría es la base de la acción.</t>
  </si>
  <si>
    <t>http://management-briznas.blogspot.com</t>
  </si>
  <si>
    <t>Cuenta oficial de la Dirección de Comunicación de RTVE. También en FB: http://facebook.com/RTVEComunicacion e IG: http://instagram.com/rtvecomunicacion/</t>
  </si>
  <si>
    <t>http://rtve.es/comunicacion</t>
  </si>
  <si>
    <t>Luis Beltrán</t>
  </si>
  <si>
    <t>El Albert Rivera de 1940. RT @thefdez: Describe a Hitler de la peor forma posible.</t>
  </si>
  <si>
    <t>https://twitter.com/thefdez/status/1065616746613227521</t>
  </si>
  <si>
    <t>Adrià Muñoz 🎗</t>
  </si>
  <si>
    <t>Nunca mejor dicho @Albert_Rivera! ¡Haaaay! ¡Maltida hemeroteca! ¿¡Eh, @InesArrimadas?! #hipocritas RT @gerardgomezf: "Si alguien quiere y busca diálogo, ¿qué tipo de diálogo espera si no se puede ni visitar a los presos políticos? No habrá diálogo posible si los presos políticos no están en la calle". Avui he acabat la meva intervenció al ple amb una cita d'Albert Rivera. Crec que és encertada.</t>
  </si>
  <si>
    <t>valencia</t>
  </si>
  <si>
    <t>Constructor de cohetes, experto en pizzas, amante de los gigantes, padre.</t>
  </si>
  <si>
    <t>http://instagram.com/fallasartist</t>
  </si>
  <si>
    <t>Distrito Federal, México</t>
  </si>
  <si>
    <t>Catalan, citizen of the world and food junkie. Entrepreneur, Youtuber and TV Host @CadenaHTV. Founder and producer of @StickManMediaMX</t>
  </si>
  <si>
    <t>http://about.me/adrianmunoz</t>
  </si>
  <si>
    <t>Lechu</t>
  </si>
  <si>
    <t>Hostias, qué vergüenza el autobús de @CiudadanosCs. Dejad de hacer el ridiculous, @Albert_Rivera. 😔</t>
  </si>
  <si>
    <t>vostok I</t>
  </si>
  <si>
    <t>Small data doctor.</t>
  </si>
  <si>
    <t>http://paypal.me/lexufistro</t>
  </si>
  <si>
    <t>Alberto</t>
  </si>
  <si>
    <t>#SanchismoEs de todo para @CiudadanosCs y @Albert_Rivera pero no le compete a él calificar a VOX. El ridículo está asegurado.</t>
  </si>
  <si>
    <t>Toledo, España</t>
  </si>
  <si>
    <t>Cuasi abogado / Secretario de Universidad de @jjsscm / @JSCobeja / Deja que el paso del tiempo te enseñe.</t>
  </si>
  <si>
    <t>Joaquín Strummer</t>
  </si>
  <si>
    <t>Lo que más me jode de ser uno de los 15 millones de tuiteros bloqueados por Albert Rivera es que no puedo ver sus continuas condenas a cada uno de los actos y comportamientos nazis que son cada vez más habituales en España desde el 1-O.</t>
  </si>
  <si>
    <t>https://www.elboletin.com/noticia/169448/nacional/rivera-evita-calificar-a-vox-como-ultraderecha:-no-soy-un-analista-politico.html</t>
  </si>
  <si>
    <t>Periodismo Basura</t>
  </si>
  <si>
    <t>Luego ves al subnormal de @Albert_Rivera pidiendo a Pedro Sánchez reuniones con la escoria disidente cubana. Esto es acojonannnnte RT @eldiarioes: ÚLTIMA HORA | Un juzgado de Madrid cita a Dani Mateo como investigado por "ultraje" a la bandera por sonarse la nariz con ella</t>
  </si>
  <si>
    <t>pic.twitter.com/4Fh0BC4QEC</t>
  </si>
  <si>
    <t>Madrid, España</t>
  </si>
  <si>
    <t>https://twitter.com/eldiarioes/status/1065961023553892352
http://vertele.eldiario.es/noticias/juzgado-Madrid-Dani-Mateo-investigado_0_2070092984.html</t>
  </si>
  <si>
    <t>https://pbs.twimg.com/media/DssM662W0AAIyYE.jpg</t>
  </si>
  <si>
    <t>Madrid y Rosario (Argentina)</t>
  </si>
  <si>
    <t>No me presiones para que condene cosas en Twitter, por favor.</t>
  </si>
  <si>
    <t>Fidelista, Marxista-Leninista, Antimperialista, defensor de la libertad de expresión y del periodismo de excelencia.</t>
  </si>
  <si>
    <t>José González</t>
  </si>
  <si>
    <t>Si serán ignorantes esta banda de Albert Rivera, que pidiendo el voto a los cordobeses les muestran una imagen de la catedral de Córdoba, (Argentina)</t>
  </si>
  <si>
    <t>Cabreo Político</t>
  </si>
  <si>
    <t>Hola! @sanchezcastejon @Pablo_Iglesias_ @Albert_Rivera @Santi_ABASCAL @pablocasado_</t>
  </si>
  <si>
    <t>Badalona, Catalunya</t>
  </si>
  <si>
    <t>https://pbs.twimg.com/media/Dssc8YVXcAAY6oS.png</t>
  </si>
  <si>
    <t>Madrid, Comunidad de Madrid</t>
  </si>
  <si>
    <t>Análisis Cabreo político en Twitter</t>
  </si>
  <si>
    <t>Noticias 24 horas</t>
  </si>
  <si>
    <t>AZNAR El Ejecutivo central "está peleando por intentar indultar a los que han dado el golpe de Estado" porque "depende de partidos golpistas", mencionando #ERC y el #PDCAT, ha continuado, aseverando que "Cataluña está dirigida por los golpistas". ERGO ...</t>
  </si>
  <si>
    <t>http://www.noticias24horas.com/ue-albert-rivera-presente-una-mocion-de-censura-o-llegue-a-acuerdos-sobre-lo-acordado-psoe-podemos/</t>
  </si>
  <si>
    <t>Jose Ricardo</t>
  </si>
  <si>
    <t>Hipermercado, dónde compro tres tomates por 1,16€. ¿Saben cuanto le pagan a un agricultor por una caja de tomates?Yo se lo digo,0,40 centimos de Euro+-! Si, por una caja! #agricultura #today #fraude @Santi_ABASCAL @sanchezcastejon @pablocasado_ @Albert_Rivera @Pablo_Iglesias_</t>
  </si>
  <si>
    <t>Oxford</t>
  </si>
  <si>
    <t>https://pbs.twimg.com/media/DsscXgWXgAAF04M.jpg</t>
  </si>
  <si>
    <t>No cuentes las Noticias, haz que las Noticias cuenten.</t>
  </si>
  <si>
    <t>http://www.Noticias24horas.com</t>
  </si>
  <si>
    <t>Lorca.Murcia.España. Madridista, me simpatiza el Betis (Pastrana me lo enseñó)</t>
  </si>
  <si>
    <t>XaVi ✊🏼</t>
  </si>
  <si>
    <t>El #BlackFriday está en todas partes...Es algo así como Rosalía, Juego de Tronos o Albert Rivera.</t>
  </si>
  <si>
    <t>Standby</t>
  </si>
  <si>
    <t>Aquí la fabulosa Catedral de Córdoba con todo su glamour. No entiendo por qué le llaman mezquita cuando es claramente una catedral. @CiudadanosCs Te la pongo en bandeja Albert, @Albert_Rivera #ConfíaEnAlbertVotaaVox</t>
  </si>
  <si>
    <t>https://pbs.twimg.com/media/DssaruFX4AEzCPw.jpg</t>
  </si>
  <si>
    <t>https://pbs.twimg.com/media/DsseNGZWoAAZIET.jpg</t>
  </si>
  <si>
    <t>St. Esteve de les Roures. CAT</t>
  </si>
  <si>
    <t>Mñáh!!!. #CCPP #ComPol #CCMM #Animalista #LGTBI #NOalTTIP. RT ≠ endorsement. Loxabvi@gmail.com</t>
  </si>
  <si>
    <t>London, UK.</t>
  </si>
  <si>
    <t>95 Make the difference. Tengo los ideales claros. Podré cambiar de opinión, nunca de principios. Extremoduro. Responsable de lo que digo. Всегда готов!</t>
  </si>
  <si>
    <t>edp ||★||🎗</t>
  </si>
  <si>
    <t>Lo que dice @pablocasado_ sobre señalar al que piensa diferente se refería a lo que hizo él y @Albert_Rivera con los profesores de St Andreu de la Barca?</t>
  </si>
  <si>
    <t>Maximiliano</t>
  </si>
  <si>
    <t>El "Regeneracionista" Albert Rivera quiere ser "el Gran Capitán de la Junta de #Andalucia " para "enseñar a pescar a los andaluces" con el marinero Moreno Bonilla ; #AlbertRivera se abre a gobernar con el #PP en Andalucía aunque gane el @PSOE</t>
  </si>
  <si>
    <t>https://www.farodevigo.es/espana/2018/11/17/rivera-abre-gobernar-pp-andalucia/1999989.html</t>
  </si>
  <si>
    <t>Girona, Catalunya</t>
  </si>
  <si>
    <t>Ho veig tot tant clar que a vegades m'espanto!! Català, republicà i de Girona!</t>
  </si>
  <si>
    <t>http://edp.cat</t>
  </si>
  <si>
    <t>Madrid , España</t>
  </si>
  <si>
    <t>-Licenciado en Periodismo y en Ciencias del Trabajo. Desde siempre, Periodista....</t>
  </si>
  <si>
    <t>Jules</t>
  </si>
  <si>
    <t>AVISO a todos los amigos de España. Albert Rivera y Juan Marín estarán repartiendo abrazos esta tarde a las 20:00 en un un monumento histórico de nuestra tierra como es La Mezquita de Córdoba. No os lo perdáis. @Cs_Cordoba #AndaluciaPorEspaña</t>
  </si>
  <si>
    <t>Ángel Parra</t>
  </si>
  <si>
    <t>Grande @Albert_Rivera . Las cosas claras. Sánchez debe de convocar elecciones porque lleva un barco sin rumbo, ni dirección. Sólo busca su propia supervivencia. #SanchismoEs RT @CsLaRioja: 🤔 ¿Va a indultar "El Sanchismo" a quienes han intentado liquidar nuestra democracia? 🤔 ¿Puede haber impunidad ante quien intenta liquidar un país? 👉 Ante este pacto inmoral y humillante para el pueblo español, decimos alto y claro: NO a los indultos, SÍ a la Justicia.</t>
  </si>
  <si>
    <t>https://pbs.twimg.com/media/DssdfdKXQAAFOQw.jpg</t>
  </si>
  <si>
    <t>https://twitter.com/CsLaRioja/status/1065627412816412678</t>
  </si>
  <si>
    <t>pic.twitter.com/lkxSW3Gsj8</t>
  </si>
  <si>
    <t>DANIEL</t>
  </si>
  <si>
    <t>La revolución será feminista.</t>
  </si>
  <si>
    <t>Asturiano de origen y Español de corazón , Fernando Alonso,Real Oviedo y Madrid. Afiliado y con orgullo a un partido, @ciudadanoscs 🍊🍊❤❤🇪🇸🇪🇸👍👍👑👑</t>
  </si>
  <si>
    <t>AZNAR "El PP tiene que empezar con los suyos y Cs seguir con los suyos, y de momento están condenados a competir, lo cual no quiere decir que no puedan entenderse en muchas cuestiones esenciales" ... PIEZA RELACIONADA:</t>
  </si>
  <si>
    <t>Félix. 🇪🇺</t>
  </si>
  <si>
    <t>Esos catedráticos son unos golpistas y unos traidores a España, o qué @Albert_Rivera RT @el_pais: Tres centenares de catedráticos y profesores de Derecho, encabezados por docentes de universidades de Andalucía, Castilla-La Mancha, Galicia y Valencia, firman un escrito en el que rechazan los delitos de rebelión y sedición en el ‘procés’</t>
  </si>
  <si>
    <t>https://twitter.com/el_pais/status/1065869565693960193
https://elpais.com/politica/2018/11/22/actualidad/1542906522_501939.html?id_externo_rsoc=TW_CM</t>
  </si>
  <si>
    <t>Bruselas, Bélgica</t>
  </si>
  <si>
    <t>Existencia y perceptibilidad son conceptos intercambiables. «Y cordilleras de toros, con orgullo en el asta». Ahora en la @UeEspana. Fan del @AlbaceteBPSAD</t>
  </si>
  <si>
    <t>http://instagram.com/stand89</t>
  </si>
  <si>
    <t>LaCerca noticias CLM</t>
  </si>
  <si>
    <t>#España Ciudadanos (C's): Melisa Rodríguez: 'Cuando se debate el futuro de Europa y qué va a pasar con Gibraltar Sánchez está en Cuba y se reúne con la dictadura' @Albert_Rivera @ahorapodemos @CiudadanosCs</t>
  </si>
  <si>
    <t>http://www.lacerca.com/noticias/espana/ciudadanos-rodriguez-pasar-gibraltar-sanchez-cuba-reune-dictadura-446365-1.html</t>
  </si>
  <si>
    <t>Andalucía</t>
  </si>
  <si>
    <t>Castilla-La Mancha</t>
  </si>
  <si>
    <t>📌📢Diario digital multimedia de Castilla-La Mancha. 📡⚡️Noticias, Entrevistas y Reportajes de ▶️ Albacete, Cuenca, Ciudad Real, Guadalajara y Toledo.🙅📸TV online 📺</t>
  </si>
  <si>
    <t>http://www.lacerca.com</t>
  </si>
  <si>
    <t>Movimiento Social</t>
  </si>
  <si>
    <t>Ciudadanos anuncia un mitin en Cordoba con la foto de la Catedral de Cordoba, (Argentina). Es que hay que ser memos. Si no ponen ni interes en esto, ¿como va a ser capaces de gobernar en alguna parte? @Albert_Rivera RT @El_Plural: Metedura de pata en plena campaña de las elecciones andaluzas</t>
  </si>
  <si>
    <t>https://twitter.com/El_Plural/status/1065926685399441408
https://www.elplural.com/visto-en-la-red/ciudadanos-anuncia-un-mitin-en-cordoba-con-la-foto-de-la-catedral-de-la-cordoba-argentina_206881102</t>
  </si>
  <si>
    <t>Espacio de divulgación y defensa de los Valores Humanos y de los Derechos de los Ciudadanos.</t>
  </si>
  <si>
    <t>http://movimiento-social.webnode.es</t>
  </si>
  <si>
    <t>Toni Clares</t>
  </si>
  <si>
    <t>¿Por qué los #GuardiasCiviles van a ser los únicos funcionarios de la Administración con descuentos del 20% del sueldo al tercer mes de baja ? Algo q decir señores @sanchezcastejon @psoe @interiorgob @Defensagob @Pablo_Iglesias_ @pablocasado_ @Albert_Rivera @Santi_ABASCAL</t>
  </si>
  <si>
    <t>Andalucía, España</t>
  </si>
  <si>
    <t>Almería, España</t>
  </si>
  <si>
    <t>Ciberseguridad|Pentester|LINUX| OSCP|Ethical hacking|Lead Auditor Certified|Deepweb|Blockchain|Bitcoin|Phyton|Ajedrez Chess AEAC ICC|POLICIA|POLICE</t>
  </si>
  <si>
    <t>Conciencia Obrera/o</t>
  </si>
  <si>
    <t>Cuando la campaña se hace desde Madrid y con ignorancia y poca cultura de los monumentos que hay en este país. @CiudadanosCs y @Albert_Rivera a ver si leéis un libro sobre cultura. ¿Y vosotras/os queréis gestionar Andalucía? Vuestras acciones os des-mascaran RT @cunadometro: ¿Me estáis diciendo en serio que Ciudadanos se presenta en Córdoba y usa en su campaña imágenes de la catedral de Córdoba......... DE ARGENTINA? Ya os imaginàis lo que conocen y les importa Córdoba. ¿En @CiudadanosCs buscáis caa día nuevas formas de hacer el ridículo?</t>
  </si>
  <si>
    <t>Asonipse Solrac</t>
  </si>
  <si>
    <t>Da igual las matanzas del franquismo que se conozcan, @pablocasado_ y @Albert_Rivera sólo condenarán la dictadura cuando les interese por cálculo electoral.</t>
  </si>
  <si>
    <t>https://elpais.com/politica/2018/11/22/actualidad/1542918215_318951.html</t>
  </si>
  <si>
    <t>Valencia, España</t>
  </si>
  <si>
    <t>McGregor</t>
  </si>
  <si>
    <t>Para que los andaluces sepan lo que les preocupa #Andalucía y #Córdoba a @CiudadanosCs de @Albert_Rivera . RT @Guerraeterna: Riesgos de contratar a alguien para que monte un ejército de bots en favor de un partido.</t>
  </si>
  <si>
    <t>https://twitter.com/Guerraeterna/status/1065933318573699072
https://twitter.com/eldiarioes/status/1065932756134359040</t>
  </si>
  <si>
    <t>Padre, marido, logopeda.</t>
  </si>
  <si>
    <t>Jacqueline</t>
  </si>
  <si>
    <t>Muchos @joanbaldovi necesitamos y ningún Pablo Casado , ni Albert Rivera ! Sólo quieren guerra! 😠 RT @joanbaldovi: Palabras como las de Casado sólo hacen que lanzar más leña al fuego y no son responsables. Hay que reflexionar y bajar el tono. 📺Entrevista en Al Rojo Vivo🔴 [1/n]</t>
  </si>
  <si>
    <t>Ciudadanos</t>
  </si>
  <si>
    <t>🔊 @Albert_Rivera "La regeneración política es fundamental: lo primero que vamos a hacer en Andalucía es una auditoría para saber en qué se ha gastado el dinero de todos los andaluces" en @COPEMalaga</t>
  </si>
  <si>
    <t>pic.twitter.com/h5i4I0PNKb</t>
  </si>
  <si>
    <t>https://twitter.com/joanbaldovi/status/1065943188660256769</t>
  </si>
  <si>
    <t>pic.twitter.com/ULxnCRGb8z</t>
  </si>
  <si>
    <t>,España</t>
  </si>
  <si>
    <t>Perfil Oficial de Ciudadanos. Somos un partido liberal progresista, demócrata y constitucionalista. Imposible es solo una opinión.</t>
  </si>
  <si>
    <t>http://www.ciudadanos-cs.org/</t>
  </si>
  <si>
    <t>Barcelona, Catalunya</t>
  </si>
  <si>
    <t>Luis Beltri Baudet</t>
  </si>
  <si>
    <t>. @pablocasado_, @Albert_Rivera, @Santi_ABASCAL, recuerden que el que al cielo escupe en la cara le cae. Siempre.</t>
  </si>
  <si>
    <t>Barcelona, España</t>
  </si>
  <si>
    <t>Santa Cruz de Tenerife, España</t>
  </si>
  <si>
    <t>Padre de Inés, Sara y Pablo. Feminista, ecologista, socialista y deportista. Vicesecretario @PSOESantaCruzTF. Junta directiva @RFEVB. Del @CVHaris</t>
  </si>
  <si>
    <t>Rudo Manila</t>
  </si>
  <si>
    <t>#SanchismoEs Es otra campaña de mierda que lo único que hace es joder más la convivéncia. Como si antes no estuvieran todos puestos a dedo... C's, de dónde sacáis el dinero? Quién os contrata? Por qué Albert Rivera modifica su curriculum? Eso ya lo dejamos pasar no?</t>
  </si>
  <si>
    <t>Javier Ruiz</t>
  </si>
  <si>
    <t>Viva córdoba por la concha de tu madre. #AhoraSiCordoba @Albert_Rivera</t>
  </si>
  <si>
    <t>Girona</t>
  </si>
  <si>
    <t>https://pbs.twimg.com/media/DssLmRzWwAM7Rfx.jpg</t>
  </si>
  <si>
    <t>Nada.</t>
  </si>
  <si>
    <t>Córdoba, España</t>
  </si>
  <si>
    <t>El tio de la suerte...humillador de juegos cutres a los amigos</t>
  </si>
  <si>
    <t>Don Nadie</t>
  </si>
  <si>
    <t>Tengo un compañero en mi empresa que nunca hace nada, no deja trabajar, echa la culpa a los demás y siempre se está quejando. Le llamamos el Albert Rivera.</t>
  </si>
  <si>
    <t>Carlos</t>
  </si>
  <si>
    <t>Muy bien @Albert_Rivera ...  vía @YouTube</t>
  </si>
  <si>
    <t>https://youtu.be/Vn5QOJG3_SM</t>
  </si>
  <si>
    <t>Ganador de aquella famosa hostia que rifaban los padres cuando éramos pequeños.</t>
  </si>
  <si>
    <t>España.</t>
  </si>
  <si>
    <t>DISTOPICO</t>
  </si>
  <si>
    <t>#SanchismoEs tener a Albert Rivera Rivera, postergado al sitio que le corresponde</t>
  </si>
  <si>
    <t>🔊 @Albert_Rivera "El clientelismo que generan las redes autonómicas hacen que los resortes del poder estén en manos de uno: hay que separar la Junta de Andalucía del PSOE porque es de todos los andaluces, no sólo de un partido" en @COPEMalaga</t>
  </si>
  <si>
    <t>https://pbs.twimg.com/media/DssXILAXcAArOwh.jpg</t>
  </si>
  <si>
    <t>pic.twitter.com/gkOjUsIXcF</t>
  </si>
  <si>
    <t>Las grandes masas sucumbirán más fácilmente a una gran mentira que a una pequeña</t>
  </si>
  <si>
    <t>🔊 @Albert_Rivera "En 2017 Cs abrió la puerta a entrar en las instituciones. Debemos convertirnos en un partido de Gobierno para poner en marcha nuestra #PolíticaÚtil" en @COPEMalaga</t>
  </si>
  <si>
    <t>pic.twitter.com/44v5ZOZS4g</t>
  </si>
  <si>
    <t>🔊 @Albert_Rivera "Después de 37 años, Cs derrotó al nacionalismo en Cataluña por primera vez en democracia; nada es imposible, espero un cambio histórico en Andalucía" en @COPEMalaga</t>
  </si>
  <si>
    <t>pic.twitter.com/NDmHnFegLJ</t>
  </si>
  <si>
    <t>David Garriga 🎗🎗🎗🎗</t>
  </si>
  <si>
    <t>La sociedad española està fracturada. Rota. Familias peleadas y amigos que no se hablan. @InesArrimadas @Albert_Rivera #femxarxa RT @jlgonzalez555: No ha aguantado una semana la placa colocada en homenaje a Yolanda González sin ser atacada por los fascistas. Los herederos de los que la asesinaron no descansan, nosotros tampoco. Limpiaremos la placa y su memoria</t>
  </si>
  <si>
    <t>https://twitter.com/jlgonzalez555/status/1065888417442091010</t>
  </si>
  <si>
    <t>https://pbs.twimg.com/media/DsrL2ixX4AEBPu4.jpg</t>
  </si>
  <si>
    <t>LLIBERTAT PRESOS POLÍTICS. Català orgulllós del seu poble. 🎗🎗🎗Bar-cel-ona. Republica Catalana.</t>
  </si>
  <si>
    <t>🔊 @Albert_Rivera "Me gustaría que el 'sanchismo' no llegara a Andalucía y eso se consigue ganándoles con una mayoría alternativa. Los ciudadanos quieren un cambio y Cs quiere encabezarlo" en @COPEMalaga</t>
  </si>
  <si>
    <t>pic.twitter.com/dmHqVIp8AY</t>
  </si>
  <si>
    <t>🔊 @Albert_Rivera "40 años de lo mismo no es sano: tenemos que sacar al PSOE del Gobierno de Andalucía y abrir una nueva etapa; Cs está en condiciones de liderar este cambio" en @COPEMalaga</t>
  </si>
  <si>
    <t>pic.twitter.com/2OtxxsKbSE</t>
  </si>
  <si>
    <t>Profesor Aronnax</t>
  </si>
  <si>
    <t>En dos o tres siglos nos podrán enseñar a hacer corta y pega, entonces ya seremos una sociedad moderna y digital, gracias @Albert_Rivera RT @LekaconK: Oye @Albert_Rivera antes de enseñarnos a pescar aprende tú a distinguir entre la catedral de Córdoba de Argentina y la de España. Sois un puto chiste. Malo.</t>
  </si>
  <si>
    <t>https://twitter.com/LekaconK/status/1065914816135614464
https://twitter.com/cunadometro/status/1065906645413318656</t>
  </si>
  <si>
    <t>🔛 Esta mañana @Albert_Rivera ha sido entrevistado en 📻 @COPEMalaga 📲 ¿Te lo has perdido? Te dejamos un resumen, a continuación, para que estés informado 😉</t>
  </si>
  <si>
    <t>雨•月</t>
  </si>
  <si>
    <t>Los bullies que me acosaban en el cole son como Albert Rivera pero en pobres.</t>
  </si>
  <si>
    <t>https://pbs.twimg.com/media/DssKRi-XQAIcwpD.jpg</t>
  </si>
  <si>
    <t xml:space="preserve">Madriz </t>
  </si>
  <si>
    <t>Trans trostkista del barrio primA💃 Me llamo Ame y me llamo Luna ☭ Communism will win ☭ Los b0rb0nes a los tiburones y todo burgués</t>
  </si>
  <si>
    <t>Victoria Domínguez</t>
  </si>
  <si>
    <t>GP de @CiudadanosCs @VictoriaCsPla recibimos a los funcionarios que trabajan en prisiones extremeñas.@Albert_Rivera</t>
  </si>
  <si>
    <t>https://pbs.twimg.com/media/DssJu__XgAAou9g.jpg</t>
  </si>
  <si>
    <t>Diputada Secretaria de la Mesa de la Asamblea de Extremadura por CIUDADANOS.Consejera del Consejo General de Cs.Secretaria de Relaciones Institucionales de CsEx</t>
  </si>
  <si>
    <t>Vicente Lizondo</t>
  </si>
  <si>
    <t>Claro @CiudadanosCs confundir Córdoba de Argentina, con Córdoba de España es como confundir diciendo que el catalán y el valenciano son la misma lengua @Albert_Rivera ¡Esos "detallitos" nos ofenden!</t>
  </si>
  <si>
    <t>https://pbs.twimg.com/media/DssF_45WkAE44xo.jpg</t>
  </si>
  <si>
    <t>Cucamongo Mondongo</t>
  </si>
  <si>
    <t>Tras los terribles sucesos de violaciones de derechos humanos y el asesinato de un periodista, la oposición al gobierno de Arabia Saudí espera con ilusión la llegada de Albert Rivera dándoles su apoyo contra aquella terrible dictadura.</t>
  </si>
  <si>
    <t>Valencia</t>
  </si>
  <si>
    <t>Valenciano, Español y Europeo. Los Valencian@s NO nos merecemos estos políticos. President @PLValencianista</t>
  </si>
  <si>
    <t>http://www.vglizondo.org</t>
  </si>
  <si>
    <t>Madrid, polución gratis</t>
  </si>
  <si>
    <t>Hijo de Cucamona Borgoñón, descendiente de terratenientes ricachuelos, dueños y señores de dunas de arena del Sáhara Central, filósofo escatológico amateur.</t>
  </si>
  <si>
    <t>Cs Guadalajara</t>
  </si>
  <si>
    <t>El #SanchismoEs esa ideología cuyo portavoz llama dóberman a @Albert_Rivera y a la gente que fue a Alsasua a defender a nuestra Guardia Civil trabajando en condiciones muy difíciles. Dentro vídeo 👇</t>
  </si>
  <si>
    <t>pic.twitter.com/lmLvD9ZPV1</t>
  </si>
  <si>
    <t>Guadalajara</t>
  </si>
  <si>
    <t>Perfil oficial de la Agrupación de Ciudadanos (C's) en Guadalajara. Email: guadalajara@ciudadanos-cs.org Facebook: http://es-es.facebook.com/ciudadanosguad…</t>
  </si>
  <si>
    <t>http://guadalajara.ciudadanos-cs.org/</t>
  </si>
  <si>
    <t>Jcs Galicia</t>
  </si>
  <si>
    <t>📽 #SanchismoEs no responder a la pregunta de @Albert_Rivera sobre los indultos a golpistas 👇</t>
  </si>
  <si>
    <t>Madrileño indignado</t>
  </si>
  <si>
    <t>Dado que Albert Rivera construyó con sus propias manos la Catedral de Córdoba (Argentina)!y diseñó la Mezquita de Córdoba (España), tiene todo el derecho a utilizar las imágenes como le apetezca.</t>
  </si>
  <si>
    <t>pic.twitter.com/K8derbW7pW</t>
  </si>
  <si>
    <t>Perfil oficial de la Secretaría de Juventud de @CiudadanosCs en Galicia 🍊 Perfil oficial da Secretaría da Xuventude de Cs en Galicia.</t>
  </si>
  <si>
    <t>Intento ser comedido y cerebral en mis comentarios, pero a veces, me puede la indignación</t>
  </si>
  <si>
    <t>Alby Fernández</t>
  </si>
  <si>
    <t>El #SanchismoEs no responder a @Albert_Rivera una pregunta MUY clara sobre los indultos: "¿Se compromete usted a NO indultar a los golpistas?</t>
  </si>
  <si>
    <t>pic.twitter.com/YnBNxbIVBi</t>
  </si>
  <si>
    <t>Vigo, España</t>
  </si>
  <si>
    <t>Comunicación digital en @JcsGalicia y Pontevedra provincia. Por la unión, la libertad, la igualdad y el progreso 🍊 Fotografía 📸</t>
  </si>
  <si>
    <t>https://www.instagram.com/albyfernandezcs</t>
  </si>
  <si>
    <t>Andy Gabaldon</t>
  </si>
  <si>
    <t>Albert Rivera es MÁS FALSO que un billete de 15 Euros @Albert_Rivera RT @LekaconK: Oye @Albert_Rivera antes de enseñarnos a pescar aprende tú a distinguir entre la catedral de Córdoba de Argentina y la de España. Sois un puto chiste. Malo.</t>
  </si>
  <si>
    <t>https://twitter.com/lekaconk/status/1065914816135614464
https://twitter.com/cunadometro/status/1065906645413318656</t>
  </si>
  <si>
    <t>Comunidad de Madrid, España</t>
  </si>
  <si>
    <t>ÜT: 10.506355,-66.834945</t>
  </si>
  <si>
    <t>Runner. Ing.Elect. Magister Gestión Pública. PhD Desarrollo Sostenible. "Ante la Tormenta, dóblate como el Bambú..."</t>
  </si>
  <si>
    <t>Jcs Balears</t>
  </si>
  <si>
    <t>Entre los suma y sigue del desgobierno del #SanchismoEs: ❌ No quiso responder si indultará a los golpistas. ❌ No habla claro sobre sus intenciones, ni de sus planes con sus aliados. @Albert_Rivera invitó al #SeñorSánchez a convocar elecciones llevando en su programa el indulto.</t>
  </si>
  <si>
    <t>pic.twitter.com/xpz9H7s1qO</t>
  </si>
  <si>
    <t>Islas Baleares, España</t>
  </si>
  <si>
    <t>Perfil oficial de la Secretaría de Juventud de @CiudadanosCs en #IslasBaleares 📲 ¡Síguenos! Imposible es sólo una opinión ¡Te escuchamos! 🍊🧡</t>
  </si>
  <si>
    <t>http://jovenes.ciudadanos-cs.org</t>
  </si>
  <si>
    <t>Del Cantábrico al Mediterráneo, un eje que corre prisa hacer no solo para mercancías @UEmadrid @CasaReal @sanchezcastejon @pablocasado_ @Pablo_Iglesias_ @Albert_Rivera  vía @periodicoaragon</t>
  </si>
  <si>
    <t>https://www.elperiodicodearagon.com/noticias/opinion/cantabrico-mediterraneo-eje-corre-prisa_1325642.html</t>
  </si>
  <si>
    <t>D' Artagnan 🇪🇸 🇫🇷</t>
  </si>
  <si>
    <t>#SanchismoEs débil con Torra, con podemos, con Erc, con Bildu con los duros y es duro con los más sensatos como @Albert_Rivera @InesArrimadas @JuanMarin_Cs los Españoles saben quién es Sánchez 1embustero, dijo q no pactaría con Bildu, etc miente más q habla. #NoMásPsoe #2DVota🍊</t>
  </si>
  <si>
    <t>https://pbs.twimg.com/media/Dsr7TB1XcAICjmA.jpg</t>
  </si>
  <si>
    <t>Oviedo, Asturias, España 🇪🇸</t>
  </si>
  <si>
    <t>Asturiano🇸🇪 Español🇪🇸, mucho de Francés🇫🇷, Defiendo a FelipeVI👑 Uno para todos y todos para Uno. @CiudadanosCs 🍊 Alonso 🏎 Real Oviedo⚽️NO TROLLS</t>
  </si>
  <si>
    <t>#SanchismoEs Tramposo cuando no está haciendo indultos y rompiendo con Torra e Iglesias España, vuela a Marruecos a rendir homenaje a #Dictador, aquí hubo 1 43 después de su muerte sueña con él, los Españoles queremos propuestas de FUTURO como las de @Albert_Rivera #2DVota🍊</t>
  </si>
  <si>
    <t>https://pbs.twimg.com/media/Dsr7TBYXcAcubXN.jpg</t>
  </si>
  <si>
    <t>ACC🎗</t>
  </si>
  <si>
    <t>A @CiudadanosCs, @Albert_Rivera e @InesArrimadas les sacas del "pruces" y ni puñetera idea de donde están! RT @cunadometro: ¿Me estáis diciendo en serio que Ciudadanos se presenta en Córdoba y usa en su campaña imágenes de la catedral de Córdoba......... DE ARGENTINA? Ya os imaginàis lo que conocen y les importa Córdoba. ¿En @CiudadanosCs buscáis caa día nuevas formas de hacer el ridículo?</t>
  </si>
  <si>
    <t>República Catalana</t>
  </si>
  <si>
    <t>El Periodista Camorrista</t>
  </si>
  <si>
    <t>#SanchismoEs tildar de provocación a @Albert_Rivera por homenajear a las víctimas del terrorismo en Alsasua, mientras ve normal que el Carnicero de Mondragón y sus cachorros revienten dicho acto. #SanchismoEs CONDENAR a la DEMOCRACIA y NO a los VIOLENTOS</t>
  </si>
  <si>
    <t>https://youtu.be/OZGkkjyaPuI</t>
  </si>
  <si>
    <t>🎥https://www.youtube.com/c/ElPeriodistaCamorrista Azote de los Independentistas y de todos los que Odian a España. Política, Sociedad y Actualidad. 🍊🇪🇸🇪🇺</t>
  </si>
  <si>
    <t>https://www.youtube.com/c/ElPeriodistaCamorrista</t>
  </si>
  <si>
    <t>#SanchismoEs reaccionar de esta manera cuando @Albert_Rivera le requiere en sede parlamentaria que muestre su TESIS. 🌹🗣”¡Os vais a enterar!”🎥⤵️</t>
  </si>
  <si>
    <t>https://youtu.be/6V5061CLMik</t>
  </si>
  <si>
    <t>#SanchismoEs ofrecer privilegios a los presos de ETA para pagar el alquiler de la Moncloa. 🎥🗣 @Albert_Rivera ⤵️</t>
  </si>
  <si>
    <t>https://youtu.be/pFDpe1Rvj-E</t>
  </si>
  <si>
    <t>Ciudadanos Cantabria</t>
  </si>
  <si>
    <t>🔴 #SanchismoEs una corriente vacía de pensamiento que acusa de crispar a quienes respetan las leyes y la constitución. 📽️ @Albert_Rivera "El día que los demócratas seamos indiferentes ante los que violan la democracia, ese día se acabará la democracia."</t>
  </si>
  <si>
    <t>pic.twitter.com/zowIwAk9Ea</t>
  </si>
  <si>
    <t>Cantabria</t>
  </si>
  <si>
    <t>Perfil oficial de @CiudadanosCs en #Cantabria 📲 Conecta en Facebook: http://facebook.com/CsCantabria y Telegram: https://t.me/CsCantabria</t>
  </si>
  <si>
    <t>http://cantabria.ciudadanos-cs.org/</t>
  </si>
  <si>
    <t>Isabelita Barreiro P</t>
  </si>
  <si>
    <t>Véanse en este espejo España! @pablocasado_ @Andy66Warhol @Albert_Rivera No cometan el mismo error de los políticos de Venezuela @inesitaterrible RT @BardisaIsmael: Carta abierta de un cubano a Pedro Sánchez “el régimen comunista que Vd.visita,persigue,encarcela y asesina a sus opositores políticos” vía @elespanolcom</t>
  </si>
  <si>
    <t>https://twitter.com/BardisaIsmael/status/1065924824898383872
https://www.elespanol.com/opinion/tribunas/20181123/carta-abierta-cubano-pedro-sanchez/355334465_12.html</t>
  </si>
  <si>
    <t>ALG🔻</t>
  </si>
  <si>
    <t>Albert Rivera y Aznar no sitúan a VOX en la extrema derecha. Luego se entiende porque sus partidos no condenan el franquismo.</t>
  </si>
  <si>
    <t>Venezuela</t>
  </si>
  <si>
    <t>de los Barreiros gallegos limpios=No money pero con un gran historial de lucha y supervivencia.</t>
  </si>
  <si>
    <t>Granada, España</t>
  </si>
  <si>
    <t>España es el único país de Europa que no cuenta con dietistas-nutricionistas en su sistema sanitario público @UEmadrid @CasaReal @sanchezcastejon @Pablo_Iglesias_ @pablocasado_ @Albert_Rivera</t>
  </si>
  <si>
    <t>http://shr.gs/KZ0Ro1E</t>
  </si>
  <si>
    <t>TRANSPARENCIAUNIV</t>
  </si>
  <si>
    <t>Artículo de Guillem Bou de la ejecutiva de ATU en  la manera de evitar que ciertos políticos nos lleven a una sociedad de miseria en ciudades donde impere la miseria.</t>
  </si>
  <si>
    <t>http://Publico.es
https://blogs.publico.es/econonuestra/2018/11/23/manila-ciudad-de-albert-rivera/</t>
  </si>
  <si>
    <t>Spain España</t>
  </si>
  <si>
    <t>Asociación Transparencia Universitaria A Transparent University N. Reg Int 598990 atuinforma@gmail.com Buen Gobierno de la Universidad Feminista y Ecologista</t>
  </si>
  <si>
    <t>http://www.atuspain.es</t>
  </si>
  <si>
    <t>Cs Tenerife</t>
  </si>
  <si>
    <t>🗣️@Albert_Rivera : "¿Va a prometer indultos a los que han intentado romper nuestra democracia?. 🏛🍊 Si vas a estar este sábado 24 de noviembre en Madrid te invitamos a acudir a la manifestación que tendrá lugar en la Plaza de Isabel II (Ópera) a las 12:00h #STOPIndultos</t>
  </si>
  <si>
    <t>pic.twitter.com/grnvTO8dgn</t>
  </si>
  <si>
    <t>Twitter Oficial de Cs en la Isla de Tenerife. Información de toda la isla y actividades de Cs.</t>
  </si>
  <si>
    <t>http://canarias.ciudadanos-cs.org</t>
  </si>
  <si>
    <t>Y FÍSICA NUCLEAR EN DOS TARDES</t>
  </si>
  <si>
    <t>#blackweekarv FERRERITAS , que sorpresón , en los socios preferentes de Ciudagramos y su líder @Albert_Rivera , además de negarse a condenar el franquismo en el senado , tiene a verdaderos fascistas y falangistas en sus filas Sorpresón Ferreritas , jajajajajajajaj</t>
  </si>
  <si>
    <t>Adelante Andalucía</t>
  </si>
  <si>
    <t>¿Recordáis a Albert Rivera diciendo que a los andaluces nos tienen que enseñar a pescar? 🤬 Quizás ellos deberían empezar por aprender un poco de Geografía Aquí tenéis a C's, confundiendo la Catedral de Córdoba en Argentina con la Mezquita de Córdoba 😂 RT @JPBellido: #AyMadre Cuñadismo nivel confundir la catedral de Córdoba (Argentina) con la Mezquita-Catedral de Córdoba (España)</t>
  </si>
  <si>
    <t>QUE SOBRES NI SOBRES</t>
  </si>
  <si>
    <t>https://twitter.com/JPBellido/status/1065742508515299334</t>
  </si>
  <si>
    <t>https://pbs.twimg.com/media/DspHIzhU0AAxLUw.jpg</t>
  </si>
  <si>
    <t>Proceso de unidad impulsado por las fuerzas del cambio en Andalucía. Formamos parte @Podemos_And, @IUAndalucia, @IzqAndalucista y @PrimaveraAnd</t>
  </si>
  <si>
    <t>Manuel  Rabalo  🇪🇸</t>
  </si>
  <si>
    <t>https://adelanteandalucia.org/</t>
  </si>
  <si>
    <t>Si no podemos decidir sobre Gibraltar decidamos sobre el Brexit. Ejerzamos nuestro derecho al Veto. @pablocasado_ @MargalloJm @sanchezcastejon @Albert_Rivera</t>
  </si>
  <si>
    <t>Padre de cuatro hijos, Ingeniero, Empresario, Católico, Liberal, Monárquico, Poeta con algún osado lector y, como Don Francisco, siempre dispuesto a batirme…</t>
  </si>
  <si>
    <t>KKO DIARIO</t>
  </si>
  <si>
    <t>El presidente mundial de los defensores del pueblo le llama la atención al partido de Albert Rivera... ¡Que le tengan que venir a cantar las cuarenta internacionalmente! 🤦‍♀️🤦‍♀️👇👇  #FelizFinde</t>
  </si>
  <si>
    <t>https://www.lapandereta.es/duro-golpe-presidente-defensores-pueblo-ciudadanos/</t>
  </si>
  <si>
    <t>Señor X</t>
  </si>
  <si>
    <t>No se les cae porque ninguno @sanchezcastejon @Albert_Rivera @pablocasado_ @Pablo_Iglesias_ y no digamos @QuimTorraiPla @gabrielrufian y demás gentuza, ni tienen vergüenza ni educación. #Abstenciónelecciones RT @monikcon62: Ya sabéis que soy muyyy preguntona: "¿Póliticos de todas las tendencias,no se os cae la cara de vergüenza por marear la pérdiz y montar númerito tras númerito sin llevar a nada?"</t>
  </si>
  <si>
    <t>https://twitter.com/monikcon62/status/1065666281788055559</t>
  </si>
  <si>
    <t>Mostrando el KKO que montan y tienen en la cabeza la derecha y Pantuflo. ❤💛💜</t>
  </si>
  <si>
    <t>Sevilla, España</t>
  </si>
  <si>
    <t>Nos caeremos y nos levantaremos. Nuestra fuerza hará posible nuestros deseos. Sobre todo, educación y respeto</t>
  </si>
  <si>
    <t>jul metamorfeado</t>
  </si>
  <si>
    <t>El gamberrismo, el matonismo d los populistas hispánicos @Albert_Rivera @pablocasado_ y la crispación y el insulto como banderas aboca a nuevas elecciones Pero estos canallas respetarán la mayoría parlamentaria que salga d las urnas?  vía @elpais_espana</t>
  </si>
  <si>
    <t>https://elpais.com/politica/2018/11/22/actualidad/1542911598_654135.html?id_externo_rsoc=TW_CC</t>
  </si>
  <si>
    <t>Años Luz de la ignorancia</t>
  </si>
  <si>
    <t>Critico sin fronteras Autocrítico sin control Vasco y ciudadano del universo Explorador del mundo</t>
  </si>
  <si>
    <t>Albert Rivera es MÁS FALSO que un billete de 15 Euros RT @cayeruby: Hasta su diario favorito confirma el nivel cultural de Ciudadanos sobre nuestro país. Mucho patriotismo y mucha hostia, y luego les mandan otra cosa que no sea retirar lazos amarillos y confunden la Mezquita con la catedral de Córdoba en Argentina.</t>
  </si>
  <si>
    <t>https://twitter.com/cayeruby/status/1065936415270322178
https://www.google.es/url?sa=t&amp;source=web&amp;rct=j&amp;url=https://sevilla.abc.es/andalucia/cordoba/sevi-miembros-ciudadanos-confunden-catedral-cordoba-homologa-argentina-201811231111_noticia_amp.html&amp;ved=2ahUKEwi8hd77t-reAhWtyIUKHfxOCjQQyM8BMAB6BAgHEAQ&amp;usg=AOvVaw1X3CpG650PVS8NJ0lh_VR5&amp;ampcf=1</t>
  </si>
  <si>
    <t>Paco de S. Francisco</t>
  </si>
  <si>
    <t>Un día nos enseñan a pescar y otro nos muestran una preciosa vista de la Mezquita - Catedral de Córdoba. Gracias a todo el equipo @joserram511961 @JuanMarin_Cs @Albert_Rivera @InesArrimadas</t>
  </si>
  <si>
    <t>https://pbs.twimg.com/media/DsrycqjWwAYbaXx.jpg</t>
  </si>
  <si>
    <t>Perdonen que no me describa</t>
  </si>
  <si>
    <t>🅰️hora Cantabria</t>
  </si>
  <si>
    <t>🇪🇸NACIONAL | @Albert_Rivera propondrá que los partidos políticos deban obtener al menos un 3% de los votos para entrar en el Congreso de los Diputados, con la mirada puesta en los nacionalistas</t>
  </si>
  <si>
    <t>https://pbs.twimg.com/media/DsryKV5XcAI7KHr.jpg</t>
  </si>
  <si>
    <t>🇪🇸NACIONAL | Albert Rivera propondrá que los partidos políticos deban obtener al menos un 3% de los votos para entrar en el @Congreso_Es de los Diputados, con la mirada puesta en los nacionalistas</t>
  </si>
  <si>
    <t>Santander</t>
  </si>
  <si>
    <t>Social Media 2.0 líder en Cantabria. Última hora urgente. Todo lo crucial al minuto. Periodistas titulados. FB/Twitter/Google+/Youtube/Instagram/Android app</t>
  </si>
  <si>
    <t>http://t.me/ahoracantabria</t>
  </si>
  <si>
    <t>https://pbs.twimg.com/media/Dsr_6k9XgAAlrQf.jpg</t>
  </si>
  <si>
    <t>Kriszka🎗️</t>
  </si>
  <si>
    <t>Pregunta para Albert @Albert_Rivera, sabes dónde está Córdoba, España?</t>
  </si>
  <si>
    <t>Albert Rivera</t>
  </si>
  <si>
    <t>Apoyamos al Gobierno en la defensa de los intereses de España sobre Gibraltar, pero nos hubiera ido mejor si Sánchez hubiera hecho los deberes. Y hoy tendría que estar defendiendo en persona el interés nacional, en vez de en Cuba con la dictadura y dando plantón a los disidentes.</t>
  </si>
  <si>
    <t>barcelona</t>
  </si>
  <si>
    <t>🎗️🇷🇺🇧🇪🇨🇭🏴󠁧󠁢󠁳󠁣󠁴󠁿🇩🇪</t>
  </si>
  <si>
    <t>Catalunya és la meva terra, España es mi país and Europe is our future. Perfil oficial de Albert Rivera. Presidente de @CiudadanosCs.</t>
  </si>
  <si>
    <t>http://www.ciudadanos-cs.org</t>
  </si>
  <si>
    <t>The Woman Of Red</t>
  </si>
  <si>
    <t>Partido Político q acceda a mis datos personales o q me envíe propaganda electoral a mis redes,correo,teléfono,etc. partido,al que no voto y a los partidos que han votado a favor @PPopular @PSOE @CiudadanosCs @Albert_Rivera @pablocasado_ @sanchezcastejon ,recordarles q tampoco.</t>
  </si>
  <si>
    <t>IbnCanales</t>
  </si>
  <si>
    <t>Primero empieza por tu líder, Albert Rivera, el que quería venir a Andalucía a enseñarnos a pescar. RT @JuanMarin_Cs: Señor @QuimTorraiPla: dice usted que me va a denunciar por defender a los andaluces de sus insultos. Pues mire lo que le decimos desde Andalucía 👇🏻</t>
  </si>
  <si>
    <t>*•En la vida..Todo siempre con mucho Love ♡•* *•A veces angel, otras demonio..pero siempre Yo..Antes de criticarme, intenta superarme..Si es que puedes claro•*</t>
  </si>
  <si>
    <t>https://twitter.com/juanmarin_cs/status/1065306165901438982</t>
  </si>
  <si>
    <t>https://pbs.twimg.com/media/Dsi6qxGWkAM8_W6.jpg</t>
  </si>
  <si>
    <t>Mmutfilo</t>
  </si>
  <si>
    <t>Ottawa, Ontario</t>
  </si>
  <si>
    <t>Hola Sr @sanchezcastejon @Albert_Rivera @pablocasado_ @Pablo_Iglesias_ Pensaba que usted no estaba en eso que Ud crítica tanto Sr @sanchezcastejon y resulta que tiene mas que callar que de hablar #SanchezLargate RT @RACATOL: Sr @sanchezcastejon se le ha caído esto, x si se piensa q no nos damos cuenta, ya se lo dejo yo👇👇</t>
  </si>
  <si>
    <t>https://twitter.com/RACATOL/status/1065719892945584128</t>
  </si>
  <si>
    <t>https://pbs.twimg.com/media/DsoylnnWkAArp-4.jpg</t>
  </si>
  <si>
    <t>cubanilluminati</t>
  </si>
  <si>
    <t>Excelentes palabras d Albert Rivera así como le decimos a Pedro Sánchez si a ustedes no le interesa el pueblo Cubano,la oposición cubana,bueno déjeme decirle algo el pueblo Cubano no lo quiere ni lo reconocerá pues no queremos más adulones d la tiranía y si presidentes con moral RT @barbara_bitar: 👏 ES VERGONZOSA E INMORAL LA VISITA DE @sanchezcastejon A #CUBA A REUNIRSE CON EL DICTADOR @DiazCanelB Y #CASTRO RESPONSABLES DE CRÍMENES DE LESA HUMANIDAD #España #NoNegocioConDictaduras NO ES ÉTICO Y PEOR IGNORA A LOS DEMÓCRATAS 🇨🇺 ACOSADOS ENCARCELADOS @ALDEgroup</t>
  </si>
  <si>
    <t>Soy directo,marketing y dirección de equipos, defensor de las personas en riesgo esperando la promesa para la segunda oportunidad para los autónomos arruinados</t>
  </si>
  <si>
    <t>https://twitter.com/barbara_bitar/status/1065912363147235328
https://twitter.com/ciudadanoscs/status/1065597757673652229</t>
  </si>
  <si>
    <t>especial me haria que se extingiera el comunismo</t>
  </si>
  <si>
    <t>🎗💙 aborigen #JuntasMásFuertes 💙🎗</t>
  </si>
  <si>
    <t>#STOPIndultos 😂😂😂😂 #EquipoNaranja 😂😂😂😂 Recuerdan lo dicho en el #Congreso por #PabloIglesiasEnLaSer al líder de la #Falange @Albert_Rivera No sirven para nada 😁 Aquí la prueba 😊 👇 RT @Mamengoes: Ya no es porque sea un tema importante en la ciudad, o porque que sea Patrimonio de la Humanidad. Es que si pretendéis representar a algún cordobés/a igual debiérais saber que esa no es nuestra Mezquita-Catedral, que sí es la Catedral de Córdoba, pero de Argentina #AhoraSíCórdoba</t>
  </si>
  <si>
    <t>https://twitter.com/Mamengoes/status/1065716434414837760</t>
  </si>
  <si>
    <t>https://pbs.twimg.com/media/DsovbbzXQAAdlRC.jpg</t>
  </si>
  <si>
    <t xml:space="preserve">Infierno </t>
  </si>
  <si>
    <t>A veces puedo caerte bien. Y a veces puedo caerte mal. Nunca seré tu amigo 😒 Canario Cómo El 🍌 🍌🍌 Construyendo El Camino De Mi Princesa 👸 Voto Podemos ☐</t>
  </si>
  <si>
    <t>igb</t>
  </si>
  <si>
    <t>Que decís de Gibraltar...........😂😂 @sanchezcastejon @JosepBorrellF @pablocasado_ @Albert_Rivera</t>
  </si>
  <si>
    <t>pic.twitter.com/YHsm6AFECX</t>
  </si>
  <si>
    <t>Barcelona, Cataluña</t>
  </si>
  <si>
    <t>.En el tibet los huevos saben diferente,según los lamas😎 .tuiter@ que me deja de seguir, es como cuchillo que no corta, cuando se pierda no importa.</t>
  </si>
  <si>
    <t>José López Benítez</t>
  </si>
  <si>
    <t>Ni el #CommunityManager es andaluz. @Albert_Rivera: Yo no veo estilos arquitectónicos, yo veo catedrales. RT @JPBellido: #AyMadre Cuñadismo nivel confundir la catedral de Córdoba (Argentina) con la Mezquita-Catedral de Córdoba (España)</t>
  </si>
  <si>
    <t>Maria</t>
  </si>
  <si>
    <t>Albert Rivera no sabe qué son 😂😂</t>
  </si>
  <si>
    <t>JEREZ - ANDALUCIA</t>
  </si>
  <si>
    <t>Antes de escribir, piensa. Antes de herir, siente. Antes de rendirte, intenta. Antes de morir, vive.</t>
  </si>
  <si>
    <t>https://pbs.twimg.com/media/Dsr71eRWsAAQ9Fd.jpg</t>
  </si>
  <si>
    <t>House Antifascista ☭</t>
  </si>
  <si>
    <t>Oye @Albert_Rivera antes de enseñarnos a pescar aprende tú a distinguir entre la catedral de Córdoba de Argentina y la de España. Sois un puto chiste. Malo. RT @cunadometro: ¿Me estáis diciendo en serio que Ciudadanos se presenta en Córdoba y usa en su campaña imágenes de la catedral de Córdoba......... DE ARGENTINA? Ya os imaginàis lo que conocen y les importa Córdoba. ¿En @CiudadanosCs buscáis caa día nuevas formas de hacer el ridículo?</t>
  </si>
  <si>
    <t xml:space="preserve">Barcelona. </t>
  </si>
  <si>
    <t>Lluito per la llibertat dels pobles. Sentit comú. De La Crida, fundadora 1386.</t>
  </si>
  <si>
    <t>Sevilla, Andalucía.</t>
  </si>
  <si>
    <t>Si votas al PP dame tu dirección y ya te robo yo. Mi primer regalo fue un libro, el segundo un cóctel molotov. A los que provoco nauseas, vuélvanse bulímicos.</t>
  </si>
  <si>
    <t>http://www.Lekaconk.com</t>
  </si>
  <si>
    <t>Iliana DFernández</t>
  </si>
  <si>
    <t>.@DiazCanelB @sanchezcastejon @CasaReal @pablocasado_ @Albert_Rivera @NelsonMandela @UN_Women @anticorruption La transparencia para la salud mental de la familia cubana, @NYCFirstLady @NYCMayor @BarackObama RT @RuthIliana46: Unas inversiones en la Agricultura Cubana, en los campos cubanos, inversiones que lleguen a la infancia cubana, a las familias cubanas y no al grupo de corruptos que destrozan a los padres con drogas y alcohol.</t>
  </si>
  <si>
    <t>https://twitter.com/RuthIliana46/status/1065911442291994625
https://twitter.com/RuthIliana46/status/1065910301705555971</t>
  </si>
  <si>
    <t>Madrid, Spain</t>
  </si>
  <si>
    <t>Joseito Fernández GrandFather Guajira Guantanamera Soprano Voice @bmi @TimesUPNOw #Adoption #CubanMoms. @FAO. @omctorg @Anticorruption. #VZLA @JoelOsteen #JESUS</t>
  </si>
  <si>
    <t>http://www.youtube.com/sila661</t>
  </si>
  <si>
    <t>Erato 🎗</t>
  </si>
  <si>
    <t>Albert Rivera propondrá que cambien las reglas del juego porque con las actuales pierde RT @Tonicanto1: Albert Rivera propondrá que los nacionalistas tengan un 3% de los votos para entrar en el Congreso.</t>
  </si>
  <si>
    <t>https://twitter.com/Tonicanto1/status/1065630742619803649
https://www.elmundo.es/espana/2018/11/22/5bf6a067e5fdea356f8b4633.html</t>
  </si>
  <si>
    <t>Espacio Abierto</t>
  </si>
  <si>
    <t>Artículo de @josefmendi en @periodicoaragon "La encuesta filosofal" La psicología de la toma de decisiones a la hora de votar  @sanchezcastejon @Pablo_Iglesias_ @pablocasado_ @Albert_Rivera @PSOE @PPopular @ahorapodemos @CiudadanosCs</t>
  </si>
  <si>
    <t>Catalunya</t>
  </si>
  <si>
    <t>Pensamiento libre. Opina lo que quieras, pero si afirmas algo espero datos/argumentos. Cambio de opinión con pruebas. Periodismo y marketing.</t>
  </si>
  <si>
    <t>https://www.elperiodicodearagon.com/noticias/opinion/encuesta-filosofal_1325634.html</t>
  </si>
  <si>
    <t xml:space="preserve">En la izquierda sumando </t>
  </si>
  <si>
    <t>http://espacioabiertoblog.wordpress.com/</t>
  </si>
  <si>
    <t>UnGalegonaCapital🎗🔻🇵🇸🇨🇺🏳️‍🌈</t>
  </si>
  <si>
    <t>Pregunta sería.¿Si un gobierno está 10 meses sin control parlamentario, y el Tribunal Constitucional dicta sentencia de que ese gobierno no cumplía la ley, no es un #GolpedeEstado? @marianorajoy @Pablo_Iglesias_ @agarzon @pablocasado_ @Albert_Rivera @sanchezcastejon</t>
  </si>
  <si>
    <t>Guadalix de la Sierra, Comunid</t>
  </si>
  <si>
    <t>Cuando más golpean las circunstancias a un pueblo yo me levantó contra las circustancias con más fuerza.</t>
  </si>
  <si>
    <t>Rose</t>
  </si>
  <si>
    <t>Y seguimos para bingo... Nuevo bloqueo de una mujer que no se le podría llamar ni persona. Esta semana estoy en racha. Primero @Albert_Rivera y ahora @magdalenacarnic Dos sinvergüenzas de distintos partidos pero con un enemigo común.</t>
  </si>
  <si>
    <t>https://pbs.twimg.com/media/DsrhLUvWkAAOiH-.jpg</t>
  </si>
  <si>
    <t>Ben lonxe do noso fogar. En Catalunya em sento com a casa. Someday, I'll speak from another place.</t>
  </si>
  <si>
    <t>ESdiario</t>
  </si>
  <si>
    <t>. @Albert_Rivera le recuerda a @Pablo_Iglesias_ que el Rey saca mejor nota que él en las encuestas  vía @ESdiario_com</t>
  </si>
  <si>
    <t>https://www.esdiario.com/170685726/Rivera-le-recuerda-a-Iglesias-que-el-Rey-saca-mejor-nota-que-el-en-las-encuestas.html</t>
  </si>
  <si>
    <t>Tras 16 años con la realidad política, social y empresarial de España, El Semanal Digital se convierte en ESdiario. Su portal de opinión sigue en @ElSemanalD.</t>
  </si>
  <si>
    <t>http://www.esdiario.com</t>
  </si>
  <si>
    <t>.@DiazCanelB @sanchezcastejon @CasaReal @pablocasado_ @Albert_Rivera @BarackObama @NYCFirstLady @NYCMayor @NelsonMandela A pesar del daño físico y psicológico que se nos ha hecho hemos estado luchando por la transparencia de inversiones en #Cuba.. RT @RuthIliana46: Por robar la libertad de expresión, convirtieron a un padre de familia en el enemigo número 1 de su familia, pero no contentos con esta realidad nos han hecho daño durante todos estos años queriendo acabar con nuestra salud mental y física..</t>
  </si>
  <si>
    <t>https://twitter.com/RuthIliana46/status/1065907420126416896
https://twitter.com/RuthIliana46/status/1065906710773145601</t>
  </si>
  <si>
    <t>Cs en el Congreso</t>
  </si>
  <si>
    <t>📰 @Albert_Rivera "A Sánchez se le ha ido de las manos el monstruo de Frankenstein que construyó con Rufián, Iglesias, Torra y Bildu" 👉</t>
  </si>
  <si>
    <t>https://www.ciudadanos-cs.org/prensa/rivera-a-sanchez-se-le-ha-ido-de-las-manos-el-monstruo-de-frankenstein-que-construyo-con-rufian-iglesias-torra-y-bildu/11100</t>
  </si>
  <si>
    <t>https://pbs.twimg.com/media/DsrezunWkAAAlDo.jpg</t>
  </si>
  <si>
    <t>Perfil oficial de @CiudadanosCs en el Congreso de los Diputados. FB: https://www.facebook.com/CsCongreso/</t>
  </si>
  <si>
    <t>https://www.ciudadanos-cs.org</t>
  </si>
  <si>
    <t>Daniel #JoSocCDR</t>
  </si>
  <si>
    <t>Todos los q os quejais de los articulos Vais pillando? No? @Albert_Rivera @InesArrimadas @miqueliceta @CiudadanosCs @PPopular RT @joseantich: El TSJC descarta delicte continuat d'odi als articles de Torra via @elnacionalcat</t>
  </si>
  <si>
    <t>https://twitter.com/joseantich/status/1065619085185204225
https://goo.gl/YRBpoS</t>
  </si>
  <si>
    <t>Ningú no legitimat em marcarà les línies vermelles #LlibertatPresosPolítics</t>
  </si>
  <si>
    <t>Josep Lluis Berlanga 🎗 2.078.008</t>
  </si>
  <si>
    <t>Hola @Albert_Rivera Das por hecho q hubo escupitajo,sin haberlo Das por hecho q hubieron piedras en Alsasua,sin haberlas Das por hecho el adoctrinamiento en las aulas CAT,sin haberlo ..el día q tengas un momentito y estés inspirado,a ver si das por hecho q sois unos fascistas</t>
  </si>
  <si>
    <t>Figueres, República Catalana</t>
  </si>
  <si>
    <t>barcelonés de neixament,canetenc de cor,ampurdanés d'adopció,lampista de profesió,pare de sentiment,apasionat per impuls,culer de cuna,indepe per convicció</t>
  </si>
  <si>
    <t>ⓒⓗⓡⓘⓢⓣⓘⓐⓝ</t>
  </si>
  <si>
    <t>Maldita hemeroteca senyor @Albert_Rivera jajajaja 😂😂😂 RT @gerardgomezf: "Si alguien quiere y busca diálogo, ¿qué tipo de diálogo espera si no se puede ni visitar a los presos políticos? No habrá diálogo posible si los presos políticos no están en la calle". Avui he acabat la meva intervenció al ple amb una cita d'Albert Rivera. Crec que és encertada.</t>
  </si>
  <si>
    <t>L'Aldea, España</t>
  </si>
  <si>
    <t>L'Aldea - Terres de l'Ebre.</t>
  </si>
  <si>
    <t>https://www.youtube.com/watch?v=POr9DzqY9RI</t>
  </si>
  <si>
    <t>.@DiazCanelB @sanchezcastejon @CasaReal @pablocasado_ @Albert_Rivera @BarackObama @NYCFirstLady @NYCMayor @NelsonMandela ..No dudo en convertir un padre de familia en un maltratador, un hombre con entrenamiento militar, estaba transformado, @UN_Women RT @RuthIliana46: .@NYCMayor Ninguno de los que ha robado la libertad de expresión de un artista afrocubano muy querido dentro y fuera de su país lo ha hecho por la infancia cubana sino por corrupción, para su cuenta personal. Sin dudarlo convirtió a un padre de familia...</t>
  </si>
  <si>
    <t>https://twitter.com/RuthIliana46/status/1065904990529687553
https://twitter.com/RuthIliana46/status/1065903869417406464</t>
  </si>
  <si>
    <t>Libertad Digital</t>
  </si>
  <si>
    <t>.@Albert_Rivera, sobre Rufián y Borrell: "A Sánchez se le ha ido el Gobierno Frankenstein de las manos". Por @mariano_alonsof</t>
  </si>
  <si>
    <t>http://bit.ly/2QdyIIz</t>
  </si>
  <si>
    <t>Tania Crespo</t>
  </si>
  <si>
    <t>Por qué será??</t>
  </si>
  <si>
    <t>https://pbs.twimg.com/media/DsrcTKZWoAA1MUb.jpg</t>
  </si>
  <si>
    <t>https://www.publico.es/tremending/2018/11/21/por-que-albert-rivera-no-se-atreve-a-decir-que-vox-es-extrema-derecha-twitter-analiza-los-motivos/?utm_source=twitter&amp;utm_medium=social&amp;utm_campaign=tremending</t>
  </si>
  <si>
    <t>Madrid</t>
  </si>
  <si>
    <t>Noticias y opinión en la red. Escúchanos en @esRadio y léenos también en @libre_mercado @ChicRevista @LoDeCultura</t>
  </si>
  <si>
    <t>http://www.libertaddigital.com</t>
  </si>
  <si>
    <t xml:space="preserve"> Valencia</t>
  </si>
  <si>
    <t>Me encanta mi familia, adoro Valencia. Socialista por convicción.</t>
  </si>
  <si>
    <t>.@DiazCanelB @sanchezcastejon @CasaReal @pablocasado_ @Albert_Rivera @NelsonMandela @BarackObama @NYCFirstLady @NYCMajorNo Ninguno de los que ha robado la libertad de expresión de un artista afrocubano lo ha hecho por sus hijos, por la infancia cubana.... RT @RuthIliana46: provocar una adicción en un padre de familia para que sea letal con su esposa e hijas. No es justo acabar con la dignidad de un hombre por robar el derecho de autor e impedir la denuncia o la reclamación de ese derecho ...</t>
  </si>
  <si>
    <t>https://twitter.com/RuthIliana46/status/1065902461817368576
https://twitter.com/RuthIliana46/status/1065901613527822336</t>
  </si>
  <si>
    <t>.@DiazCanelB @sanchezcastejon @CasaReal @pablocasado_ @Albert_Rivera @NelsonMandela @BarackObama @NYCFirstLady @NYCMayor No se puede jugar con la Salud Mental de los padres de familia. No es justo. No es justo darle alcohol enviciar a un padre de familia ... RT @RuthIliana46: Un padre que se dedicaba anónimamente a cuidar la seguridad de otros y que desde los 13 años quedó huérfano, hizo clandestinidad y que no conocía otro medio de vida sino el militar trabajar día y noche sin descanso ..</t>
  </si>
  <si>
    <t>https://twitter.com/RuthIliana46/status/1065899965346734080
https://twitter.com/RuthIliana46/status/1065899301493239808</t>
  </si>
  <si>
    <t>Jesús Barberá⚡</t>
  </si>
  <si>
    <t>Lo que opino sobre @CiudadanosCs @Cs_Chiclana @Albert_Rivera, jajaja</t>
  </si>
  <si>
    <t>https://pbs.twimg.com/media/DsrVGFRXcAA1Q5W.jpg</t>
  </si>
  <si>
    <t>Chiclana, Cádiz</t>
  </si>
  <si>
    <t>1999. Fórmula 1. #MakeChesterProud @LinkinPark @SkilletMusic @PapaRoach</t>
  </si>
  <si>
    <t>Angel J. Andrés</t>
  </si>
  <si>
    <t>A ver si nos enteramos Sr @Albert_Rivera, los españoles no somos tontos, y no necesitamos que hable por todos nosotros, hable por los de su partido y sus acólitos, pero déjenos de MENTAR y MENTIR.</t>
  </si>
  <si>
    <t>Comarca de Molina de Aragón</t>
  </si>
  <si>
    <t>Técnico en Emergencias Sanitarias</t>
  </si>
  <si>
    <t>https://fb.me/angeljandres</t>
  </si>
  <si>
    <t>empanada de berberechos</t>
  </si>
  <si>
    <t>Estoy más hecho polvo que Albert Rivera</t>
  </si>
  <si>
    <t>🌴🌴TU Y YO🌴🌴🌴🍁🍁🍁</t>
  </si>
  <si>
    <t>EN LUGAR DE ESTAR CONTENTOS @pablocasado_ Y @Albert_Rivera DEL AUGE SIN PARANGÓN DEL PARTIDO DE ULTRADERECHA DE @Santi_ABASCAL @vox_es ESTÁN CABREADS Y NO HACEN MÁS QUE CRITICARLE..ES QUE AHORA SON DE IZQUIERDAS??? TODA ESPAÑA A VOTAR @vox_es URGENTEMENTE</t>
  </si>
  <si>
    <t>correo electrónico: lunadebenidorm@gmail.com</t>
  </si>
  <si>
    <t xml:space="preserve">Españita </t>
  </si>
  <si>
    <t>El buzo de los cojones y la chica humeante</t>
  </si>
  <si>
    <t>http://FGL.com</t>
  </si>
  <si>
    <t>.@DiazCanelB @sanchezcastejon @CasaReal @pablocasado_ @Albert_Rivera Cuando estuvo el Señor Pedro Sánchez en New York le pedimos que fuera nuestro @NelsonMandela como antes habíamos esperado que fuera el Señor @BarackObama @NYCFirstLady @NYCMayor</t>
  </si>
  <si>
    <t>Teresa</t>
  </si>
  <si>
    <t>Ya @pablocasado_ y @Albert_Rivera dejarán de hablar de los autónomos para atacar al presidente Sánchez. Los autónomos y el gobierno han llegado a un acuerdo muy bueno . Así que Zipi y Zape tendrán un tema menos para meterse con el presidente.</t>
  </si>
  <si>
    <t>Auroris</t>
  </si>
  <si>
    <t>Pero Albert Rivera no se cansa nunca de dar vergüencita?</t>
  </si>
  <si>
    <t>Mis amores: Mi familia. Mís ideas y Andalucía.</t>
  </si>
  <si>
    <t>Pobladura de la Sierra</t>
  </si>
  <si>
    <t>Nunca dejes que nadie te diga que no puedes hacer algo, las personas que no son capaces de hacer algo te dirán que tú tampoco puedes. Estudiante de Derecho, UAM</t>
  </si>
  <si>
    <t>Edi Tubau</t>
  </si>
  <si>
    <t>Rídiculo, patético @Albert_Rivera Un tio com tu, has de controlar més de cuet els teus subdits.🤣🤣🤣 RT @Mamengoes: Ya no es porque sea un tema importante en la ciudad, o porque que sea Patrimonio de la Humanidad. Es que si pretendéis representar a algún cordobés/a igual debiérais saber que esa no es nuestra Mezquita-Catedral, que sí es la Catedral de Córdoba, pero de Argentina #AhoraSíCórdoba</t>
  </si>
  <si>
    <t>https://twitter.com/mamengoes/status/1065716434414837760</t>
  </si>
  <si>
    <t>AlexMar</t>
  </si>
  <si>
    <t>Alucino co nivel de indignidade de Albert Rivera. Minte e difama con tal facilidade e lixereza que asusta. Absoluto irresponsable que visto con perspectiva causará abraio. No rebumbio político e baixeza actual non destaca suficientemente, ten durísimos competidores.</t>
  </si>
  <si>
    <t>Terrassa</t>
  </si>
  <si>
    <t>Terrassense que lleva Blanes en el corazón. Licenciado MEF e INEF. Internacional de hockey. He cumplido un sueño 4 veces: Sidney, Atenas, Pekín, Londres.</t>
  </si>
  <si>
    <t>LV-223</t>
  </si>
  <si>
    <t>Alieníxena, en son de paz case sempre</t>
  </si>
  <si>
    <t>Ramiro RS☆🎗</t>
  </si>
  <si>
    <t>Pois nesta ocasión @FeijooGalicia xa foi máis contundente con respecto a @vox_es que o líder de @CiudadanosCs @Albert_Rivera!! 😂😂😂 RT @Gconfidencial: Feijóo responde ao líder de Vox que hai políticos que só coñecen Galicia "cando veñen tomar unha mariscada"</t>
  </si>
  <si>
    <t>Confidencial Digital</t>
  </si>
  <si>
    <t>La vinatería del ‘ciudadano’ Albert Rivera</t>
  </si>
  <si>
    <t>https://twitter.com/Gconfidencial/status/1065734243802931200
http://ow.ly/2S0r30mIEhE</t>
  </si>
  <si>
    <t>http://somosecd.com/p4upl4</t>
  </si>
  <si>
    <t>xinzodalimia.galiza.eu</t>
  </si>
  <si>
    <t>Traballando (aos poucos) polas vecinhas e vecinhos. Ghaiteiro con @osjalos. Dende Galiza ollando cara o Multiverso... ;)</t>
  </si>
  <si>
    <t>+34 91 445 96 97 Madrid, Spain</t>
  </si>
  <si>
    <t>En el #BlackFriday se ofrecen dos fachas como @Albert_Rivera y @Santi_ABASCAL por el mismo precio que @pablocasado_. Aunque son distintos, son iguales.</t>
  </si>
  <si>
    <t>El twitter de las personas informadas que desean estar más informadas. http://somosecd.com/8m0gl socios@elconfidencialdigital.com</t>
  </si>
  <si>
    <t>http://www.elconfidencialdigital.com/</t>
  </si>
  <si>
    <t>antonluca cuoco</t>
  </si>
  <si>
    <t>El borrador presentado por España se encuentra en riesgo de incumplimiento del Pacto de Estabilidad y Crecimiento en 2019. Adiós también al 'plan b' de #Sánchez @dlacalle @manuel_llamas @diegodelacruz @AndreaGiuricin @gianlucac1 @Albert_Rivera @mariatad</t>
  </si>
  <si>
    <t>https://www.elmundo.es/economia/macroeconomia/2018/11/21/5bf542fa46163f8e9e8b4669.html</t>
  </si>
  <si>
    <t>Mercedes Salcedo</t>
  </si>
  <si>
    <t>Cuando Ciudadanos tachaba de "espectáculo" el fletar autobuses políticos via @El_Plural</t>
  </si>
  <si>
    <t>https://www.elplural.com/politica/albert-rivera-copia-modelo-bus-propagandista-que-critico-a-podemos_206760102</t>
  </si>
  <si>
    <t>Straborghese Dir. Marketing in CE industry/ Salernitano in EU/ Liberale quindi Liberista. Atlantista. Garantista. 1 volta provai a Fare per Fermare il Declino</t>
  </si>
  <si>
    <t>👤</t>
  </si>
  <si>
    <t>.@Albert_Rivera reitera machaconamente que los independentistas catalanes son golpistas (lo cual es muy discutible) y pide ilegalización de los partidos con ese objetivo. En cambio, no es discutible que Franco fue un golpista y se abstiene reiteradamente en condenarlo. Ah👇👇</t>
  </si>
  <si>
    <t>https://pbs.twimg.com/media/DsrMBzDWsAADYnc.jpg</t>
  </si>
  <si>
    <t>#BlackFrarday Juan Marín , otro recién llegado a la política, cuando viene Albert @Albert_Rivera a repartir las cañas , juanito ?</t>
  </si>
  <si>
    <t>https://pbs.twimg.com/media/DsrLWmFWsAAU_42.jpg</t>
  </si>
  <si>
    <t>Diario Balear</t>
  </si>
  <si>
    <t>👉🏻La Monarquía actual es símbolo de unión, desarrollo y democracia  @CasaReal @Albert_Rivera @InesArrimadas @AntoniCamps @MMContesti @jcamposasensi @EspanaForo @GomaMariano @gsampolfer @paatri_guerrero @pablocasado_ @CompanyBiel</t>
  </si>
  <si>
    <t>Kirt</t>
  </si>
  <si>
    <t>Si no sabéis haceros el eyeline le podéis pedir ayuda a Albert Rivera que de otra cosa no pero de hacer rayas sabe un rato</t>
  </si>
  <si>
    <t>https://www.diaribalear.es/la-monarquia-actual-es-simbolo-de-union-desarrollo-y-democracia/</t>
  </si>
  <si>
    <t>Palma de Mallorca</t>
  </si>
  <si>
    <t>Somos diferentes, somos de aquí</t>
  </si>
  <si>
    <t>https://www.diaribalear.es</t>
  </si>
  <si>
    <t>Bcn</t>
  </si>
  <si>
    <t>Putos missclicks</t>
  </si>
  <si>
    <t>MiVerdad</t>
  </si>
  <si>
    <t>Derechos Humanos en @Cuba de los que @EspejoPublico, @Albert_Rivera, Pablo CasadoPP y @PSOE no contarán...</t>
  </si>
  <si>
    <t>Pilar García Flores</t>
  </si>
  <si>
    <t>Albert Rivera e Ignacio Gordillo participan en la concentración de 'España Ciudadana' contra los indultos y por las elecciones</t>
  </si>
  <si>
    <t>https://pbs.twimg.com/media/DsrKmSGW0AAKRBM.jpg</t>
  </si>
  <si>
    <t>https://www.ciudadanos-cs.org/prensa/albert-rivera-e-ignacio-gordillo-participan-en-la-concentracion-de-espana-ciudadana-contra-los-indultos-y-por-las-elecciones/11103</t>
  </si>
  <si>
    <t>Pozuelo de Alarcón, España</t>
  </si>
  <si>
    <t>Abogada, trabajadora e ilusionada🍊Para los cobardes,el futuro es incierto, para los valientes,es una oportunidad "</t>
  </si>
  <si>
    <t>pablo mess</t>
  </si>
  <si>
    <t>Un presidente de gobierno que NO gobierna nada, sólo se dedica a darse la GRAN VIDA y VIAJAR POR TODO EL MUNDO como si fuera presidente de EEUU, y ¿CUÁNTO DINERO NOS CUESTA? Nadie dice nada? #ViernesNegro @pablocasado_ @TeoGarciaEgea @Albert_Rivera @Santi_ABASCAL @rosadiezglez</t>
  </si>
  <si>
    <t>madrid</t>
  </si>
  <si>
    <t>Abogado ~ I like to have strong opinions with nothing to back them up with besides my primal sincerity. I like sincerity. I lack sincerity.</t>
  </si>
  <si>
    <t>Juan Wagner PODEMOS</t>
  </si>
  <si>
    <t>Los gibraltareños tenían que estar dementes y seniles si quisieran ser españoles donde la corrupción la chulería, la prepotencia y la Santa inquisición gobierna Donde el fascismo campa a sus anchas y déspotas como @pablocasado_ @Albert_Rivera @Santi_ABASCAL están al orden del día</t>
  </si>
  <si>
    <t>en todo el mundo en casa</t>
  </si>
  <si>
    <t>escribir un libro, pintar un cuadro y ser presidente</t>
  </si>
  <si>
    <t>V. Benavente</t>
  </si>
  <si>
    <t>Hoy, en Cuarto Milenio, hablaremos del escupitajo de Borrell, de las piedras que le tiraron a Albert Rivera en Alsasua, del máster de Casado, del Chupacabras y de la novela que escribió Ana Rosa.</t>
  </si>
  <si>
    <t>🎗Trwitter🎗#CUP</t>
  </si>
  <si>
    <t>Uy! A los de @CiudadanosCs Miss Telva Arrimada @InesArrimadas Y Riverita Farlópez @Albert_Rivera se les ha caído lo de comentar los actos de sus Comandos Fascistas. 👇🏻 RT @neustomas: Esto también está pasando en Catalunya (por si no aparece en otros medios): Atacadas con pintura una docena de sedes de partidos y entidades independentistas en varias ciudades  vía @eldiarioes</t>
  </si>
  <si>
    <t>https://twitter.com/neustomas/status/1065237775400747009
https://www.eldiario.es/_31f5688e</t>
  </si>
  <si>
    <t>https://pbs.twimg.com/media/DsrunUxWsAAS50M.jpg</t>
  </si>
  <si>
    <t>🦊 Fotoperiodista, nihilista, criatura de impulsos, 📸</t>
  </si>
  <si>
    <t>República de Catalunya</t>
  </si>
  <si>
    <t>Republicà i indepe. Ja he passat per la censura. Fent “Pølònia” a TV3, avui dia passen coses molt estranyes. Donec Perficiam! #FemXarxa</t>
  </si>
  <si>
    <t>Alena 🎗</t>
  </si>
  <si>
    <t>Hola @CiutadansCs @CiutadansBCN @Albert_Rivera @InesArrimadas #StopPerfomances</t>
  </si>
  <si>
    <t>https://pbs.twimg.com/media/DsrF6gHXgAAg8aI.jpg</t>
  </si>
  <si>
    <t xml:space="preserve"> Barcelona II⭐️II </t>
  </si>
  <si>
    <t>Born in the USSR</t>
  </si>
  <si>
    <t>Sergio Zapatilla</t>
  </si>
  <si>
    <t>organizaciones de derechos humanos internacionales (que casi no saben nada de estas cosas) pidiendo la liberación de presos políticos en españa? que está pachandooo?!?!? 🤪🤪 @Albert_Rivera @pablocasado_ RT @eldiarioes: La Organización Mundial contra la Tortura reclama la puesta en libertad de Sànchez y Cuixart</t>
  </si>
  <si>
    <t>https://twitter.com/eldiarioes/status/1065872982684430337
https://www.eldiario.es/catalunya/politica/Organizacion-Mundial-Tortura-Sanchez-Cuixart_0_838517251.html</t>
  </si>
  <si>
    <t>https://pbs.twimg.com/media/Dsq9024WsAArZ7p.jpg</t>
  </si>
  <si>
    <t>Me es indiferente cuantos followers tenga mientras me quede cerveza en la nevera.</t>
  </si>
  <si>
    <t>Alejandro Prados</t>
  </si>
  <si>
    <t>¡¡ESPABILAD!! @sanchezcastejon @pablocasado_ @Pablo_Iglesias_ @Albert_Rivera RT @4ever_frog: ¿Qué líder político ha celebrado el Bicentenario del @museodelprado en su twitter? Una pista: no es el que felicitó por su premio a "La casa de papel" No miréis, que con trampas pierde toda gracia.</t>
  </si>
  <si>
    <t>https://twitter.com/4ever_frog/status/1065169184047419392</t>
  </si>
  <si>
    <t>http://facebook.com/alejandro.ramirezdesilva</t>
  </si>
  <si>
    <t>Rosa Membrado</t>
  </si>
  <si>
    <t>Bravo, #guillembou, molt inspirat! Manila, ciudad de Albert Rivera - Público</t>
  </si>
  <si>
    <t>🗳👉🏻@Albert_Rivera Propone un corte electoral del 3% para evitar espectáculos como el vivido en el Congreso y que Rufián no humille a los españoles. Con esta medida los partidos SEPARATISTAS hoy en día no tendrían representación en el Congreso. 🎥⤵️</t>
  </si>
  <si>
    <t>https://blogs.publico.es/econonuestra/2018/11/23/manila-ciudad-de-albert-rivera/</t>
  </si>
  <si>
    <t>https://www.youtube.com/watch?v=Vn5QOJG3_SM</t>
  </si>
  <si>
    <t>Zoon Politikon (Aristotle). Individual can only fully fulfil him/herself in Society. From I to We. Comunication &amp; Personal Development. http://www.demundusthegame.com</t>
  </si>
  <si>
    <t>https://rosamembrado.wordpress.com</t>
  </si>
  <si>
    <t>FeSMC-UGT Aragón</t>
  </si>
  <si>
    <t>Manila, ciudad de Albert Rivera  Guillem Bou Bauzá @econoNuestra vía @publico_es</t>
  </si>
  <si>
    <t>Regla Moreno</t>
  </si>
  <si>
    <t>.@Albert_Rivera critica la "purga" de Edmundo Bal: "Sánchez pone al Estado al servicio de golpistas para seguir en Moncloa"</t>
  </si>
  <si>
    <t>https://www.europapress.es/nacional/noticia-rivera-critica-purga-abogacia-estado-ve-sanchez-servicio-golpistas-seguir-moncloa-20181121191422.html</t>
  </si>
  <si>
    <t>Aragón</t>
  </si>
  <si>
    <t>Cuenta Oficial en Twitter de la Federación de Servicios, Movilidad y Consumo de la Unión General de Trabajadores (UGT) en Aragón.</t>
  </si>
  <si>
    <t>http://www.fesmcugtaragon.es</t>
  </si>
  <si>
    <t>San Fernando (Cádiz)</t>
  </si>
  <si>
    <t>Concejala @Cs_SanFernando Maestra•English•Máster PRL•Coaching• Secretaria de Comunicación de Cs en Cádiz http://sanfernando.ciudadanos-cs.org/</t>
  </si>
  <si>
    <t>https://www.facebook.com/pages/Ciudadanos-San-Fernando/857630790970444</t>
  </si>
  <si>
    <t>Leti</t>
  </si>
  <si>
    <t>Albert Rivera propondrá que los nacionalistas tengan un 3% de los votos para entrar en el Congreso  vía @elmundoes</t>
  </si>
  <si>
    <t>Ulrich Iza.</t>
  </si>
  <si>
    <t>Más alto y claro no se puede decir FASCISTAS. @CiudadanosCs @Albert_Rivera @gabrielrufian @InesArrimadas</t>
  </si>
  <si>
    <t>https://www.elmundo.es/espana/2018/11/22/5bf6a067e5fdea356f8b4633.html</t>
  </si>
  <si>
    <t>https://pbs.twimg.com/media/Dsq87DrXQAAFcJa.jpg</t>
  </si>
  <si>
    <t>Republicano. Gora Euskal Herria askatuta.</t>
  </si>
  <si>
    <t>Valladolid, España</t>
  </si>
  <si>
    <t>Moni Coro 🎗</t>
  </si>
  <si>
    <t>Ups... vuestra ignorancia en estado puro!! Gracias por hacerme reír FASCISTAS!! @Albert_Rivera @InesArrimadas y a todo vuestro equipo!! RT @Mamengoes: Ya no es porque sea un tema importante en la ciudad, o porque que sea Patrimonio de la Humanidad. Es que si pretendéis representar a algún cordobés/a igual debiérais saber que esa no es nuestra Mezquita-Catedral, que sí es la Catedral de Córdoba, pero de Argentina #AhoraSíCórdoba</t>
  </si>
  <si>
    <t>Donnie Darko</t>
  </si>
  <si>
    <t>Albert Rivera paseando por Córdoba y admirando la catedral con un libro de Kant bajo el brazo</t>
  </si>
  <si>
    <t>¿Y qué te hace pensar que no soy un superhéroe?</t>
  </si>
  <si>
    <t>JL (Capi) 😎</t>
  </si>
  <si>
    <t>Le Jonathan</t>
  </si>
  <si>
    <t>INCULTURA, HIPOCRESÍA y MALA LECHE. Pablo Casado y Albert Rivera acusan a Pedro Sánchez Pérez-Castejón de no entrevistarse con los disidentes en su reciente visita a Cuba. Ambos "acusadores" demuestran su grave...</t>
  </si>
  <si>
    <t>Hola @Albert_Rivera Mira lo que decía @Pablo_Iglesias_ sobre los buses con rotulación pagada por un partido. Ah, no, que eras tú el que decía que hacer esas cosas "no es oposición, es un show". Felicidades por volver a mostrar vuestra hipocresía.</t>
  </si>
  <si>
    <t>https://pbs.twimg.com/media/Dsq6psNXcAAy7JF.jpg</t>
  </si>
  <si>
    <t>https://www.facebook.com/100003395081586/posts/1764317367024749/</t>
  </si>
  <si>
    <t>Cihuatanejo</t>
  </si>
  <si>
    <t>He venido a mascar chicle y patear culos y me he quedado sin chicle.</t>
  </si>
  <si>
    <t>Más p'allá de Mordor</t>
  </si>
  <si>
    <t>Soy el protagonista de mi vida. SIEMPRE ES TEMPRANO PARA RENDIRSE. 😎</t>
  </si>
  <si>
    <t>El Homer</t>
  </si>
  <si>
    <t>Vivo con el miedo de que @pablocasado @Albert_Rivera y @InesArrimadas se vayan tanto a la derecha en sus mítines que se les acabe el escenario y se rompan la crisma #EleccionesAndaluzas @PPopular @CiudadanosCs</t>
  </si>
  <si>
    <t>El sedicioso springfiliano</t>
  </si>
  <si>
    <t>Cs Sevilla Sur</t>
  </si>
  <si>
    <t>🍊Esta domingo estamos en #Málaga con @Albert_Rivera , @InesArrimadas @JuanMarin_Cs y @javierimbroda para explicar el proyecto de cambio para #Andalucía de @CiudadanosCs. #AhoraSíCs #SíEsPosible una #Andalucía de oportunidades gracias a @Cs_Andalucia</t>
  </si>
  <si>
    <t>Fodor Lobson 🎗💚</t>
  </si>
  <si>
    <t>Albert Rivera devolviendo al colmado una caja de fernet en 5, 4, ... RT @cunadometro: ¿Me estáis diciendo en serio que Ciudadanos se presenta en Córdoba y usa en su campaña imágenes de la catedral de Córdoba......... DE ARGENTINA? Ya os imaginàis lo que conocen y les importa Córdoba. ¿En @CiudadanosCs buscáis caa día nuevas formas de hacer el ridículo?</t>
  </si>
  <si>
    <t>https://pbs.twimg.com/media/Dsq6LPnWoAANxdQ.jpg</t>
  </si>
  <si>
    <t>Sevilla</t>
  </si>
  <si>
    <t>Perfil oficial de Ciudadanos Sevilla Sur. Puedes encontrarnos también en https://www.facebook.com/CsSevillaSur/.</t>
  </si>
  <si>
    <t>http://ciudadanos-cs.org</t>
  </si>
  <si>
    <t>Mendoza</t>
  </si>
  <si>
    <t>català vivint a Mendoza. Zonda i Tramuntana.</t>
  </si>
  <si>
    <t>Iñaki López</t>
  </si>
  <si>
    <t>Mañana en @SextaNocheTV entrevistas con @Albert_Rivera ,la periodista Isabel Gemio y el actor @atorrem . tensión en el Congreso, lio en el CGPJ, Ferrán Monegal, Borrell VS Rufián... Para adolecer de presentador, no es mal menú.</t>
  </si>
  <si>
    <t>Periodista bilbaino (con diptongo). Presentador de @sextanochetv</t>
  </si>
  <si>
    <t>Trendinalia España</t>
  </si>
  <si>
    <t>Los 20 tuits más RTs de @gabrielrufian @santi_abascal @joninarritu @krls @albert_rivera @jordi_canyas @beatriztalegon @teresarodr_ @agarzon @sanchezcastejon @jordialapreso @pablo_iglesias_ @junqueras @anapastorjulian @monederojc el jueves 22 de noviembre</t>
  </si>
  <si>
    <t>🗣️Ciudadanos Albert Rivera : "A Sánchez se le ha ido de las manos el monstruo de Frankenstein que construyó con Rufián, Iglesias, Torra y Bildu" 📰Puedes leer la noticia en La Laguna Ahora👇</t>
  </si>
  <si>
    <t>https://twitter.com/trendinaliaES/timelines/1065849541994340352</t>
  </si>
  <si>
    <t>http://lalagunaahora.com/rivera-a-sanchez-se-le-ha-ido-de-las-manos-el-monstruo-de-frankenstein-que-construyo-con-rufian-iglesias-torra-y-bildu/</t>
  </si>
  <si>
    <t>Las tendencias de Twitter, Google y YouTube en la geografía española — #trndnl</t>
  </si>
  <si>
    <t>http://trendinalia.com/twitter-trending-topics/spain/</t>
  </si>
  <si>
    <t>Antonio Garcia Leal</t>
  </si>
  <si>
    <t>La OCDE pide a España que no rebaje el impuesto de sucesiones y elimine desgravaciones para grandes fortunas  #tatarlak Tome nota sr @CiudadanosCs @Albert_Rivera y sra @InesArrimadas</t>
  </si>
  <si>
    <t>🇪🇸NACIONAL | Albert Rivera propondrá que los partidos políticos deban obtener al menos un 3% de los votos para entrar en el Congreso de los Diputados, con la mirada puesta en los nacionalistas</t>
  </si>
  <si>
    <t>http://ow.ly/PJmJ30mIOQ9</t>
  </si>
  <si>
    <t>https://pbs.twimg.com/media/DsrkdUjWkAAFbfy.jpg</t>
  </si>
  <si>
    <t>El Vendrell</t>
  </si>
  <si>
    <t>Miembro de la ejecutiva Esquerra Republicana Cataluña de Vendrell Republicano por convicción. Portavoz de la @XVendrellenca #tatarlak</t>
  </si>
  <si>
    <t>https://projecto2019vendre.wixsite.com/tatarlak</t>
  </si>
  <si>
    <t>🍀🇪🇸Newt 🇪🇺🏳️‍🌈</t>
  </si>
  <si>
    <t>De @Albert_Rivera que decir, ¿dónde está el moderado y el prudente? Su estilo ahora, es el de Martinez Pujalte, Rafael Hernando y otros de esa calaña, más dados al insulto que a la oratoria.</t>
  </si>
  <si>
    <t xml:space="preserve">Arganzuela, Madrid
</t>
  </si>
  <si>
    <t>GMdO de Alcántara: Navigare necesse est, vivere non est necesse. Socialista.</t>
  </si>
  <si>
    <t>Capitan Ahab</t>
  </si>
  <si>
    <t>Y Podemos vuelve a sacar el Tramabús a las calles, no tienen arreglo. Verás @Albert_Rivera cuando se entere, con lo nervioso que le pone el Tramabús.</t>
  </si>
  <si>
    <t>https://pbs.twimg.com/media/Dsqrug8XQAAsF_5.jpg</t>
  </si>
  <si>
    <t>Fiddler's Green</t>
  </si>
  <si>
    <t>Hago siempre el mal. No por maldad, sino por no destacar</t>
  </si>
  <si>
    <t>http://www.malagahoy.es/julian_molina/</t>
  </si>
  <si>
    <t>Podemos Cazorla</t>
  </si>
  <si>
    <t>Historia de terror: "Manila, ciudad de Albert Rivera" por Guillem Bou Bauzá.</t>
  </si>
  <si>
    <t>Juan Antonio Parra</t>
  </si>
  <si>
    <t>No señor @Albert_Rivera, usted no es demócrata.  vía @diario_16</t>
  </si>
  <si>
    <t>http://mediterraneo.diario16.com/no-senor-rivera-usted-no-democrata/</t>
  </si>
  <si>
    <t>Murcia (Españistán)</t>
  </si>
  <si>
    <t>Aficionado a las buenas músicas del mundo y al baloncesto. Indignado, no. Hasta los huevos... Instagram: @j.parrag</t>
  </si>
  <si>
    <t>Muntanyanegra 🔸</t>
  </si>
  <si>
    <t>El autocar de @Ciudadanos fomenta el odio. Cc/@Cs_Madrid @Albert_Rivera</t>
  </si>
  <si>
    <t>Jordi Solà i Mas. Antropòleg. Patrimoni cultural. Apicultor i Oleïcultor. Lector incansable, fascinat per l’art d’escriure.</t>
  </si>
  <si>
    <t>https://textualitats.wordpress.com</t>
  </si>
  <si>
    <t>bitMomentum</t>
  </si>
  <si>
    <t>Más comentados ahora en Derecha/Centro Dcha.: ➀ @sanchezcastejon ↓ ➁ @Alvisepf ↑ ➂ @jitorreblanca ↑ ➃ @gabrielrufian ↑ ➄ @MariaTabarnia ↑↑ ➅ @Desayunos_tve ↑ ➆ @Albert_Rivera ↓ ➇ @ldpsincomplejos ↓ ➈ @carmelojorda ↑</t>
  </si>
  <si>
    <t>Observatorio en tiempo real de política española en Twitter.</t>
  </si>
  <si>
    <t>http://www.bitmomentum.com</t>
  </si>
  <si>
    <t>Más comentados ahora en Derecha/Centro Dcha.: ➀ @sanchezcastejon ↑ ➁ @Alvisepf ↓ ➂ @PSOE ↑↑ ➃ @Albert_Rivera ↑↑ ➄ @ldpsincomplejos ↓ ➅ @jitorreblanca ↑ ➆ @5chuspis ➇ @gabrielrufian ↓ ➈ @UPYDEuskadi ↑</t>
  </si>
  <si>
    <t>Jesús Uría</t>
  </si>
  <si>
    <t>Albert Rivera propondrá que los nacionalistas tengan un 3% de los votos en toda España para entrar en el Congreso</t>
  </si>
  <si>
    <t>Más influyentes ahora en Derecha/Centro Dcha.: ➀ @Alvisepf ↓ ➁ @ldpsincomplejos ↓ ➂ @jitorreblanca ↑ ➃ @Albert_Rivera ↑ ➄ @5chuspis ➅ @UPYDEuskadi ↑ ➆ @Desayunos_tve ↑ ➇ @Luchadora_Tenaz ↑ ➈ @Gallato7 ↑↑ ➉ @ConsuorF ↑</t>
  </si>
  <si>
    <t>https://trib.al/cUJxKgO</t>
  </si>
  <si>
    <t>Bilbao España</t>
  </si>
  <si>
    <t>https://www.facebook.com/profile.php?id=100011075051553</t>
  </si>
  <si>
    <t>La Hora</t>
  </si>
  <si>
    <t>Honor a este Grande de España, Ojalá hoy hubiera un sólo politico como él @sanchezcastejon @pablocasado_ @Albert_Rivera @pepeonet RT @p_marcote: ¡Que no se enteran! ¡Gritad más, que gritáis poco! ¡Gritad, porque mientras gritéis no mataréis! Los pelos como escarpias. #ErnestLluch</t>
  </si>
  <si>
    <t>https://twitter.com/p_marcote/status/1065270351335223298</t>
  </si>
  <si>
    <t>pic.twitter.com/3Vmym0HnUc</t>
  </si>
  <si>
    <t>https://www.facebook.com/groups/1523383624657240/?fref=nf</t>
  </si>
  <si>
    <t>Javier Huenchullan Historia del Partido Radical de Chile https://es.calameo.com/read/0005624460b1c6f3e877</t>
  </si>
  <si>
    <t>Socialist Ideas. Hum Rights.lahoraredaccion@gmail.com Moderador Prof Retir.Jorge Gomez-Aracena PhD MD http://Prev.Med.PublHealth gomezaracena@gmail.com</t>
  </si>
  <si>
    <t>Joan Mani 🎗️</t>
  </si>
  <si>
    <t>Por fin Albert Rivera dice la verdad sobre los presos políticos.</t>
  </si>
  <si>
    <t>pic.twitter.com/eqJt9gv29Y</t>
  </si>
  <si>
    <t xml:space="preserve">Polònia </t>
  </si>
  <si>
    <t>Somniador d' illes utòpiques. Animal decebut dels humans.</t>
  </si>
  <si>
    <t>Charran Español</t>
  </si>
  <si>
    <t>. Albert_Rivera le recuerda a Pablo_Iglesias_ que el Rey saca mejor nota que él en las encuestas  vía ESdiario_com</t>
  </si>
  <si>
    <t>JordiOD</t>
  </si>
  <si>
    <t>Este tío de @Albert_Rivera es aparte de un miserable, un frágil mental, muy fácil de pillar, no entiendo como puede engañar a algunos. Se van ha estrellar y voy aplaudir hasta con las orejas, lo de la nariz se lo dejo a él. RT @La_SER: Albert Rivera evita calificar a Vox como un partido de ultraderecha La entrevista completa del líder de @CiudadanosCs en @HoyPorHoy con @PepaBueno →</t>
  </si>
  <si>
    <t>https://twitter.com/la_ser/status/1065154211707404288
http://cadenaser.com/programa/2018/11/20/hoy_por_hoy/1542712340_800654.html</t>
  </si>
  <si>
    <t>Me encanta sobrevolar una España que no sea llevada a la ruina por parte de los partidos de izquierdas.</t>
  </si>
  <si>
    <t>Santa Coloma de Gramenet, España</t>
  </si>
  <si>
    <t>Ciencia Ciencia Política</t>
  </si>
  <si>
    <t>Más influyentes ahora en Derecha/Centro Dcha.: ➀ @Alvisepf ↓ ➁ @jitorreblanca ↓↓ ➂ @ldpsincomplejos ↓ ➃ @Desayunos_tve ↓ ➄ @gonzalezpons ↓ ➅ @MariaTabarnia ↓ ➆ @UPYDEuskadi ↓↓ ➇ @CiudadanosCs ↓↓ ➈ @Albert_Rivera ↓</t>
  </si>
  <si>
    <t>Javi</t>
  </si>
  <si>
    <t>Marc  #AltsasukoakAske</t>
  </si>
  <si>
    <t>Gilipollas @Albert_Rivera</t>
  </si>
  <si>
    <t>Otra medida sensanta de Albert Rivera que le van a tumbar en el congreso RT @Tonicanto1: Albert Rivera propondrá que los nacionalistas tengan un 3% de los votos para entrar en el Congreso.</t>
  </si>
  <si>
    <t>Granada - Málaga</t>
  </si>
  <si>
    <t>Entre Catalunya i Euskadi</t>
  </si>
  <si>
    <t>Saganista. Scarponi nel cuore Nurburgring 9'53''01</t>
  </si>
  <si>
    <t>Gatitos y lucha de clases, comunista en formación. % 50 Euskalduna 50% Català 100% terrorista.</t>
  </si>
  <si>
    <t>https://www.youtube.com/watch?v=ZfItieG57uw</t>
  </si>
  <si>
    <t>Mamen Crespo</t>
  </si>
  <si>
    <t>Mañana en nuestro periódico podéis leer mi entrevista con @ignacioaguado Ya está en la web por si os queréis adelantar @Cs_Madrid @gentedigital @CsMadridCiudad @CiudadanosCs @Albert_Rivera @InesArrimadas RT @Cs_Madrid: 📰 @ignacioaguado responde en @gentedigital "PP y PSOE no han querido eliminar los aforamientos en la Comunidad de #Madrid", por @mamencrespo 👉</t>
  </si>
  <si>
    <t>https://twitter.com/cs_madrid/status/1065596412795211777
http://www.gentedigital.es/madrid/noticia/2520814/ignacio-aguado-pp-y-psoe-no-han-querido-eliminar-los-aforamientos/</t>
  </si>
  <si>
    <t>https://pbs.twimg.com/media/DsnB9OYWkAAieXr.jpg</t>
  </si>
  <si>
    <t>Periodista. Redactora jefe de GENTE, directora de Cosechando Madrid y redactora de AGROPOPULAR (COPE). Ojalá recojas la mejor cosecha de tu siembra de sueños</t>
  </si>
  <si>
    <t>http://www.gentedigital.es/comunidad/cosechandomadrid</t>
  </si>
  <si>
    <t>H.PiedrahitaT</t>
  </si>
  <si>
    <t>COLOMBIA @FedericaMog @Antonio_Tajani @GermanyDiplo @francediplo_ES @GiuseppeConteIT @MAECgob @JosepBorrellF @pablocasado_ @Albert_Rivera @UEenColombia @bbcmundo_es @USAenEspanol @DemsEspanol @marcorubio @ONU_derechos @mbachelet @Almagro_OEA2015 @A_OrdonezM @ONU_es @PachoSantosC RT @josiasfiesco: Con 33 disidencias ya se sabe quienes son los que han avanzado en estos dos años del acuerdo Santos Farc. #PartidaW</t>
  </si>
  <si>
    <t>Ona🎗️</t>
  </si>
  <si>
    <t>Ahora Albert Rivera dice que ERC, escupio, a España, cuando NO hubo ninguno!!! Estan muy mal!! Muy mal!! #LlibertatPresosPolítics #ridiculo #independenciaja</t>
  </si>
  <si>
    <t>https://twitter.com/josiasfiesco/status/1065734009198731265</t>
  </si>
  <si>
    <t>pic.twitter.com/1QGupvag0L</t>
  </si>
  <si>
    <t>Sant Esteve de les Roures</t>
  </si>
  <si>
    <t>Nunca podrán encarcelar mi mente. Llibertat presos polítics</t>
  </si>
  <si>
    <t>Elvira Marcos Palma</t>
  </si>
  <si>
    <t>Quedan pocas horas para la concentración de @ESPCiudadana en favor de la independencia judicial. Por eso, esta tarde, hemos intentado que nuestro mensaje llegue a todas partes. @Albert_Rivera, estará alli el sábado para defender nuestra democracia. Únete...</t>
  </si>
  <si>
    <t>https://pbs.twimg.com/media/DspN5E_VAAAbTWw.jpg</t>
  </si>
  <si>
    <t>MADRID (ESPAÑA)</t>
  </si>
  <si>
    <t>Abogada. Coordinadora de la JD de Agrupación Chamberi (Madrid) de C's. Permitir una injusticia significa abrir el camino a todas las que siguen (Willy Brandt)😥</t>
  </si>
  <si>
    <t>http://www.elviramarcosabogados.com</t>
  </si>
  <si>
    <t>TONI ROYO zamora🎗[*]</t>
  </si>
  <si>
    <t>Buenos días.Ayer se acabó una encuesta Hoy os propongo otra Basada en un caso real Vais paseando tranquilamente,con vuestro lazo amarillo y simbología independiente y os encontrais con 1 Mitin del Albert Rivera.Mirais las caras de mala leche del personal catalanofobico y decidido</t>
  </si>
  <si>
    <t>Loi§ ฿ateman ®²º¹5</t>
  </si>
  <si>
    <t>Esto @pablocasado @Albert_Rivera @UEmadrid @EU_Commission @EP_President @Albert_Rivera RT @hermanntertsch: Pedro Sánchez no se reune con ningún demócrata en Cuba. Solo verá a los verdugos. El que demoniza una dictadura española que sacó al país de la miseria y lo lanzó a la prosperidad se arrastra ante una dictadura cubana que sacó al país de la prosperidad y lo hundió en la miseria.</t>
  </si>
  <si>
    <t>Banyoles</t>
  </si>
  <si>
    <t>Algú es pot creure que aquesta dona mentidera podria ser la presidenta de tots els catalans?😂😂😂😂1 OCT.2018 HA ESTAT UN DÍA QUE DURARÀ MIL ANYS #femXarxa</t>
  </si>
  <si>
    <t>https://twitter.com/hermanntertsch/status/1065693079720640512</t>
  </si>
  <si>
    <t xml:space="preserve">Everywhere </t>
  </si>
  <si>
    <t>Venezuela it hurt. Fitness. 🇻🇪🇪🇸🇺🇸 Influencer. Fútbol ⚽ Democracy = Freedom. El Poder, El Dinero corrompen úselo Bien. Yahve y Jeshua</t>
  </si>
  <si>
    <t>Rafael. S.</t>
  </si>
  <si>
    <t>Sin el tema Catalan los de @Albert_Rivera no fueran nadie.</t>
  </si>
  <si>
    <t>"No ganes el mundo y pierdas tu alma, la sabiduría es mejor que la plata o el oro..." Bob Marley</t>
  </si>
  <si>
    <t>Mr. Runner</t>
  </si>
  <si>
    <t>Para los que votáis a Ciudadanos, existen un par de problemas que pasáis por alto: 1- Albert Rivera es el nuevo Alejandro Lerroux. 2- No tenéis ni puta idea de quién fue Alejandro Lerroux ni lo que hizo. Para vosotros entre los Reyes Católicos y Franco no hubo nada. Y así nos va.</t>
  </si>
  <si>
    <t>AZUKIKI🌟🆓</t>
  </si>
  <si>
    <t>Mira @sanchezcastejon @CasaReal @Albert_Rivera @tele5_noticias @antena3com RT @ANC_Mossos: L’Organització Mundial Contra la Tortura demana l’alliberament dels Jordis. Deu ser per alguna cosa. Ja saben que no hi ha justícia a l’estat espanyol.</t>
  </si>
  <si>
    <t>Alcoi, Espanya</t>
  </si>
  <si>
    <t>Redactor de @zonazhero y @cabezascortadas. Ganador del prestigioso premio Javier Marquina. Me puedes encontrar pululando en @Akuma_Comics</t>
  </si>
  <si>
    <t>https://curiouscat.me/JoeRunnerZZ</t>
  </si>
  <si>
    <t>https://twitter.com/ANC_Mossos/status/1065724756488593408
https://www.vilaweb.cat/noticies/lorganitzacio-mundial-contra-la-tortura-demana-lalliberament-de-cuixart-i-sanchez-i-la-retirada-de-les-acusacions/</t>
  </si>
  <si>
    <t>Pléyades</t>
  </si>
  <si>
    <t>DE IZQUIERDA, LA ÚNICA QUE HAY, REPUBLICANA, NO CREO EN LA JUSTICIA EN ESTE PAÍS, PERO CREO EN EL CAMBIO DE MENTALIDAD, ASÍ QUE ESPERO UNA AUTÉNTICA REVOLUCIÓN.</t>
  </si>
  <si>
    <t>La guerra entre @JoanTarda @gabrielrufian vs @Albert_Rivera solo beneficia a los de Cs. Hay muchos votante que les gusta ver enojado a los de Esquerra porque les digan golspita. Ustedes van a lograr que C's gobierne en España.</t>
  </si>
  <si>
    <t>LexTresAbogados</t>
  </si>
  <si>
    <t>.Albert_Rivera, sobre Rufián y Borrell: "A Sánchez se le ha ido el Gobierno Frankenstein de las manos". Por mariano_alonsof</t>
  </si>
  <si>
    <t>https://pbs.twimg.com/media/DsrdnwfXcAE0VSC.jpg</t>
  </si>
  <si>
    <t>#LexTresAbogados prestamos: #servicios de #auditoría #asesoramiento #legal #fiscal #Laboral #financiero y de #negocio con una clara #focalización #sectorial</t>
  </si>
  <si>
    <t>http://www.lextres.com</t>
  </si>
  <si>
    <t>Antonio</t>
  </si>
  <si>
    <t>¿Qué teneis que decir sobre la abstención de @CiudadanosCs en el senado contra Franco, @InesArrimadas y @Albert_Rivera?</t>
  </si>
  <si>
    <t>Tengo 29 años y acabo de nacer. The Big kids don't play. Instagram: @antoniobelmar89</t>
  </si>
  <si>
    <t>Riau</t>
  </si>
  <si>
    <t>El disgusto que se llevó Albert Rivera cuando se enteró de que Instagram era una app de fotos.</t>
  </si>
  <si>
    <t>fui nazi por amor.</t>
  </si>
  <si>
    <t>http://www.mundovarices.com</t>
  </si>
  <si>
    <t>MarcoyMedio</t>
  </si>
  <si>
    <t>Franco enseño a pescar a los andaluces @Albert_Rivera</t>
  </si>
  <si>
    <t>Buscando a mi mama desde 1880. Voy de los palelillos a los papers. En mi maleta? un mono y un tupper. Me gusta Heidi, pero nunca coincidimos.</t>
  </si>
  <si>
    <t>Pasa en #Venezuela y merece todo el Retweet posible. @Almagro_OEA2015 @osopooh_300 @CarlosZambrano7 @Soredita @WilliamMazinger @DonCorneliano2 @IntlCrimCourt @OEA_oficial @CIDH @EspanaPatriotas @beatrizbecerrab @pablocasado @Albert_Rivera RT @WellingMichael: In the Bolivarian Socialist Revolution of Venezuela 🇻🇪 speaking or protesting against the regime has its consequences. Repression @IntlCrimCourt @CanadaUN @CanadaUNGeneva @CanadaOAS @NorVenAlliance</t>
  </si>
  <si>
    <t>https://twitter.com/WellingMichael/status/1065601599035371520
https://twitter.com/AdamSmithFree/status/1056955827666456576/video/1</t>
  </si>
  <si>
    <t>Jordi Pons García</t>
  </si>
  <si>
    <t>🍊📌 El domingo tenemos nueva cita en #Málaga con @Albert_Rivera, @InesArrimadas, @JuanMarin_Cs y @javierimbroda ⏰12:00 horas #AhoraSíCs #AhoraSiMalága #AhoraSíCsRincón 🍊🍊🍊💪💪💪</t>
  </si>
  <si>
    <t>https://pbs.twimg.com/media/DspBSH_U4AACbeO.jpg</t>
  </si>
  <si>
    <t>Rincón de la Victoria, España</t>
  </si>
  <si>
    <t>Patri EAF</t>
  </si>
  <si>
    <t>La Organización Mundial contra la Tortura no parecen 4 independes locos violentos proetarras fascistas-comunistas. Que yo no sé, eh? Pero igual vendría bien empezar a escuchar a las asociaciones internacionales @sanchezcastejon @Albert_Rivera @pablocasado_</t>
  </si>
  <si>
    <t>https://www.lasexta.com/noticias/nacional/organizacion-mundial-tortura-exige-liberar-inmediatamente-cuixart-sanchez_201811225bf724630cf20582280c4f1c.html</t>
  </si>
  <si>
    <t>C.M.</t>
  </si>
  <si>
    <t>la compra de Albert Rivera RT @archillect:</t>
  </si>
  <si>
    <t>Amante de la historia, la sociología, el monte y los gatetes. Intento respetar al otro y preguntar cuando puedo. Me gustan las cabras.</t>
  </si>
  <si>
    <t>https://twitter.com/archillect/status/1065902793536532480</t>
  </si>
  <si>
    <t>https://pbs.twimg.com/media/DsrY8LmXoAAy2Uj.jpg</t>
  </si>
  <si>
    <t>Hispano</t>
  </si>
  <si>
    <t>Escupen a @JosepBorrellF y @sanchezcastejon pide moderación a @pablocasado_ y a @Albert_Rivera. Esto es una puñetera locura. RT @AntonioRNaranjo: Escupen a @JosepBorrellF y @sanchezcastejon pide moderación a @pablocasado_ y a @Albert_Rivera. Esto es una puñetera locura.</t>
  </si>
  <si>
    <t>Antifeixista. Nihilista. Feminista. Revolució o la mort ⚢⚢ 🏳️‍🌈🏳️‍🌈 🏴Menos flores y más pasamontañas🏴 #0contenciones</t>
  </si>
  <si>
    <t>https://twitter.com/AntonioRNaranjo/status/1065699960316985347</t>
  </si>
  <si>
    <t>Madrí - España</t>
  </si>
  <si>
    <t>Hispano. La conciencia del grillo. Honor: Cualidad moral que lleva al cumplimiento de los propios deberes respecto del prójimo y de uno mismo.</t>
  </si>
  <si>
    <t>Cs Región de Murcia</t>
  </si>
  <si>
    <t>📰 Albert Rivera propondrá que los nacionalistas tengan un 3% de los votos para entrar en el Congreso. @elmundoes 👉  #ActualidadCs</t>
  </si>
  <si>
    <t>http://ow.ly/gsWG30mICeF</t>
  </si>
  <si>
    <t>https://pbs.twimg.com/media/DsrY9aEX4AA672m.jpg</t>
  </si>
  <si>
    <t>Miguel Ángel Hijano</t>
  </si>
  <si>
    <t>Este domingo 25 te esperamos a las 12 hs en el #EncuentroCiudadano con @Albert_Rivera @InesArrimadas @JuanMarin_Cs y @javierimbroda Únete a la marea naranja del cambio. #AhoraSíCiudadanos #EquipoNaranja</t>
  </si>
  <si>
    <t>https://pbs.twimg.com/media/Dso8S_-U8AAGMGI.jpg</t>
  </si>
  <si>
    <t>Región de Murcia</t>
  </si>
  <si>
    <t>Twitter oficial de Ciudadanos Cs Región de Murcia. Regenerando la política.</t>
  </si>
  <si>
    <t>Marbella, Málaga</t>
  </si>
  <si>
    <t>Padre y esposo. Consultor Financiero para @OVBAllfinanzSp. Partner en Marbella y responsable financiero para @kinosgroup. Miembro de @Cs_Marbella.</t>
  </si>
  <si>
    <t>Más comentados ahora en Derecha/Centro Dcha.: ➀ @sanchezcastejon ↑ ➁ @UPYDEuskadi ↑↑↑ ➂ @Alvisepf ↓ ➃ @jitorreblanca ↑ ➄ @JosepBorrellF ↑ ➅ @ldpsincomplejos ↓ ➆ @PSOE ↓ ➇ @Desayunos_tve ↓ ➈ @Albert_Rivera ↓</t>
  </si>
  <si>
    <t>#FotografíaNómada</t>
  </si>
  <si>
    <t>Me ha gustado un vídeo de @YouTube ( - PABLO BUSTINDUY (Podemos) humilla brutalmente a ALBERT RIVERA</t>
  </si>
  <si>
    <t>http://youtu.be/AUSqGnrZTBE?a</t>
  </si>
  <si>
    <t>Estos independentistas 😊 Perdonad esta No es la Noticia 😂😂😂😂 @Albert_Rivera @pablocasado_ @Santi_ABASCAL #KaleBorroca 😂😂😂😂 👇 Un grupo de taxistas con actitud violenta 'revienta' el acto de Díaz en Sevilla</t>
  </si>
  <si>
    <t>https://www.elconfidencial.com/elecciones-andalucia/2018-11-22/sevilla-acto-diaz-taxistas_1663806/</t>
  </si>
  <si>
    <t>Don Jorge</t>
  </si>
  <si>
    <t>JOSE RAMON PEREZ</t>
  </si>
  <si>
    <t>Hombre,creo que Alberto queda retratado. @Albert_Rivera RT @Guerraeterna: Eso de que Rivera defina a todo el mundo, pero no se atreva a definir a Vox me recuerda que un político puede permitirse hacer muchas cosas, pero nunca el ridículo.</t>
  </si>
  <si>
    <t>Manila, ciudad de Albert Rivera - Público</t>
  </si>
  <si>
    <t>https://twitter.com/Guerraeterna/status/1065362620956532743</t>
  </si>
  <si>
    <t>CUANDO LA INJUSTICIA SE HACE LEY.......LA REBELION ES UN DEBER!!!!!!</t>
  </si>
  <si>
    <t>Aquí y allá</t>
  </si>
  <si>
    <t>Toda la vida matando burros,y la cuadra llena.Uesca 1973</t>
  </si>
  <si>
    <t>Manuel Olivares</t>
  </si>
  <si>
    <t>.@CiudadanosCs @Albert_Rivera Se sigue trabajando desde el Congreso en medidas que garanticen la seguridad de los ciclistas 👏👏👏👏</t>
  </si>
  <si>
    <t>https://pbs.twimg.com/media/Dso1quJXcAA7AY1.jpg</t>
  </si>
  <si>
    <t>MAIL:   molivaresh@me.com</t>
  </si>
  <si>
    <t>Portavoz de Cs en Ayto de Granada. (Abogado) Preocupado de que mundo vamos a dejarle a nuestros hijos, pero más de los hijos que vamos a dejarle a nuestro mundo</t>
  </si>
  <si>
    <t>http://abogadomoh.wordpress.com</t>
  </si>
  <si>
    <t>El Cascabel</t>
  </si>
  <si>
    <t>🔴 Susana Ollero las trae las claves del viaje de Sánchez a Cuba. Ojo, ni rastro de contacto alguno con la disidencia cubana. @Albert_Rivera ha respondido lamentando la falta de valentía y la cobardía del gobierno por ello. #ElCascabel22N</t>
  </si>
  <si>
    <t>https://pbs.twimg.com/media/Dso0iPjU0AAxacy.jpg</t>
  </si>
  <si>
    <t>El mejor análisis del día, con la actualidad social, cultural y política de lunes a jueves a las 22:30h con Antonio Jiménez y Susana Ollero.</t>
  </si>
  <si>
    <t>http://www.trecetv.es/programas/el-cascabel</t>
  </si>
  <si>
    <t>📽 @Albert_Rivera "Hemos pedido la comparecencia de Calviño por la posible evasión fiscal. Este gobierno tiene tantas manchas como el de Rajoy; lo mejor que pueden hacer es convocar elecciones y dar voz a los españoles" #ActualidadCs</t>
  </si>
  <si>
    <t>pic.twitter.com/RomoMI4mN4</t>
  </si>
  <si>
    <t>Cs Roquetas de Mar</t>
  </si>
  <si>
    <t>🤖@Albert_Rivera : 'A Sánchez se le ha ido de las manos el monstruo de Frankenstein que construyó con Rufián, Iglesias, Torra y Bildu'</t>
  </si>
  <si>
    <t>https://pbs.twimg.com/media/DsozQd7X4AIPQ-1.jpg</t>
  </si>
  <si>
    <t>Roquetas de Mar (Almería)</t>
  </si>
  <si>
    <t>Perfil Oficial en Twitter de Ciudadanos Roquetas de Mar - Partido de la Ciudadanía.</t>
  </si>
  <si>
    <t>http://roquetasdemar.ciudadanos-cs.org/</t>
  </si>
  <si>
    <t>Ya formo parte del selecto (y cada vez más grande) grupo de personas a las que @Albert_Rivera ha bloqueado. Muy bien estos de @CiudadanosCs haciendo política de la mejor manera que saben. Ellos no lo saben, pero esto hace que me sienta muy especial. Es un honor que me bloquee.</t>
  </si>
  <si>
    <t>https://pbs.twimg.com/media/Dsox9DyWkAUtsLQ.jpg</t>
  </si>
  <si>
    <t>Más comentados hoy en Derecha/Centro Dcha.: ➀ @sanchezcastejon ↑ ➁ @Alvisepf ↓ ➂ @gabrielrufian ↓ ➃ @rosadiezglez ↓ ➄ @PSOE ↑ ➅ @Santi_ABASCAL ↓ ➆ @Albert_Rivera ↓ ➇ @Desayunos_tve ↓ ➈ @JosPastr ↓ ➉ @javiernegre10 ↓</t>
  </si>
  <si>
    <t>https://pbs.twimg.com/media/Dsou8kQVYAAy7zu.jpg</t>
  </si>
  <si>
    <t>Más influyentes hoy en Derecha/Centro Dcha.: ➀ @Alvisepf ↓ ➁ @rosadiezglez ↓ ➂ @Santi_ABASCAL ↓ ➃ @JosPastr ↓ ➄ @javiernegre10 ↓ ➅ @Desayunos_tve ↓ ➆ @Albert_Rivera ↓ ➇ @carrizosacarlos ↑ ➈ @ldpsincomplejos ↑</t>
  </si>
  <si>
    <t>https://pbs.twimg.com/media/Dsout8xVAAE5vtd.jpg</t>
  </si>
  <si>
    <t>Francis Rubio Gómez</t>
  </si>
  <si>
    <t>“Una nación decente no promete ni regala impunidad a quienes intentan liquidar la democracia. Señores del PSOE y de Podemos, ¿ustedes hubieran indultado a Tejero? Nosotros nunca. ¿Por qué quieren indultar a los golpistas separatistas?” @Albert_Rivera #STOPIndultos</t>
  </si>
  <si>
    <t>https://pbs.twimg.com/media/DsouEbgU0AAgaTW.jpg</t>
  </si>
  <si>
    <t>Ciudadanos Cs</t>
  </si>
  <si>
    <t>Esto @beatrizbecerrab @Albert_Rivera @pablocasado @EspanaPatriotas @EP_President @Congreso_Es chaviztas corruptos ahí se las dejo para la investigación RT @VVSinMiedo: Gustavo Mirabal, también fanatico de los caballos, es el cerebro detrás de la red de lavado de Andrade. Aquí el nivel de vida de su familia, su hija íntima amiga del novio de Emmanuel Andrade y de la hija de Ranquel Bernal, la barbie chavista. Viven en España tras huir de Miami</t>
  </si>
  <si>
    <t>https://twitter.com/VVSinMiedo/status/1065630099997945857</t>
  </si>
  <si>
    <t>https://pbs.twimg.com/media/Dsng6pPU0AI3T7k.jpg</t>
  </si>
  <si>
    <t>Akra insurrecto</t>
  </si>
  <si>
    <t>Los nazis hijos de puta comemierdas que tapan a la machista @LeticiaDolera👉#GranWyoming @Albert_Rivera @marianorajoy @CNN y etc, son los mismos que usaron a los emigrantes venezolanos (para atacar a #UnidosPodemos), que ahora solicitan cita de asilo malviviendo en precario..</t>
  </si>
  <si>
    <t>En demolición permanente. Cuando haya acabado empiezo a construir. Insurrecto por vocación, insumiso porque me sale de los cojones.</t>
  </si>
  <si>
    <t>Más comentados ahora en Derecha/Centro Dcha.: ➀ @sanchezcastejon ↓ ➁ @Alvisepf ↓ ➂ @jitorreblanca ↓ ➃ @JosepBorrellF ↓ ➄ @ldpsincomplejos ↑ ➅ @PSOE ↑ ➆ @Desayunos_tve ↑ ➇ @Albert_Rivera ↑ ➈ @Pablo_Iglesias_ ↑</t>
  </si>
  <si>
    <t>Más influyentes ahora en Derecha/Centro Dcha.: ➀ @Alvisepf ↓ ➁ @jitorreblanca ↓ ➂ @ldpsincomplejos ↑ ➃ @Desayunos_tve ↑ ➄ @rosadiezglez ↑ ➅ @AntonioRNaranjo ↑↑ ➆ @Tonicanto1 ↓ ➇ @CristinaSegui_ ↑ ➈ @Albert_Rivera ↓</t>
  </si>
  <si>
    <t>J_Puigmartí-Anmella</t>
  </si>
  <si>
    <t>1/2 A las pocas horas de que 130 catedráticos de Derecho de toda ESÑ afirmaran en un comunicado conjunto que en CAT no hubo golpe de Estado ni tampoco Rebelión- Sedición, aparece @Albert_Rivera en Congreso y trata a los presos políticos/exiliados catalanes de golpistas.</t>
  </si>
  <si>
    <t>Barcelona, Espanya</t>
  </si>
  <si>
    <t>Independentista de cor i de raó.</t>
  </si>
  <si>
    <t>Juan de Padilla</t>
  </si>
  <si>
    <t>305 años después del expolio a Castilla y a España del peñón d Gibraltar por el Tratado de Utrecht, nuestros políticos españoles @sanchezcastejon @Albert_Rivera @pablocasado_ están a punto de conseguir q terminemos de tener definitivamente derecho a recuperar Gibraltar. Vergüenza</t>
  </si>
  <si>
    <t xml:space="preserve">Castilla </t>
  </si>
  <si>
    <t>Castellano. Castilla región histórica no reconocida oficialmente. Desde 1521 no se ha vuelto a levantar.</t>
  </si>
  <si>
    <t>Beat Miró</t>
  </si>
  <si>
    <t>En marcha la cruzada para invadir #Gibraltar de los Sres. @JosepBorrellF, @pablocasado_, @Albert_Rivera i @Santi_ABASCAL, Permítanme un consejo, inténtenlo primero con la #IsladePerejil</t>
  </si>
  <si>
    <t>https://pbs.twimg.com/media/Dsom5jvWkAArJOd.jpg</t>
  </si>
  <si>
    <t>Sant Joan de les Abadesses</t>
  </si>
  <si>
    <t>Català, etern candidat a la santedat. Ciutadà de la República Catalana.</t>
  </si>
  <si>
    <t>Cs Andalucía</t>
  </si>
  <si>
    <t>📰 @Albert_Rivera llama a la "rebelión cívica" para tener la llave del cambio en #Andalucía⤵️</t>
  </si>
  <si>
    <t>http://cadenaser.com/emisora/2018/11/18/radio_cadiz/1542546020_464502.html</t>
  </si>
  <si>
    <t>Perfil oficial de Ciudadanos Andalucía. Contáctanos en https://www.facebook.com/CiudadanosAndalucia/</t>
  </si>
  <si>
    <t>http://parlamento-andalucia.ciudadanos-cs.org/</t>
  </si>
  <si>
    <t>Emilio Pérez 💯</t>
  </si>
  <si>
    <t>Que digo yo, sí llamar golpista no es insultar, llamar fascista tampoco lo será, no @Albert_Rivera</t>
  </si>
  <si>
    <t>https://pbs.twimg.com/media/DsojSOKU8AE4GJg.jpg</t>
  </si>
  <si>
    <t>Al sur.</t>
  </si>
  <si>
    <t>Emigrante retornado. Militante del PCE y de IU.</t>
  </si>
  <si>
    <t>Raimon Massanet</t>
  </si>
  <si>
    <t>¿Esto es terrorismo, @Albert_Rivera? RT @elmundoes: Susana Díaz suspende su acto público en San Juan por una fuerte protesta de taxistas</t>
  </si>
  <si>
    <t>https://twitter.com/elmundoes/status/1065699763516002304
https://trib.al/iQ0hoZE</t>
  </si>
  <si>
    <t>Antonio Naranjo</t>
  </si>
  <si>
    <t>Escupen a @JosepBorrellF y @sanchezcastejon pide moderación a @pablocasado_ y a @Albert_Rivera. Esto es una puñetera locura.</t>
  </si>
  <si>
    <t>En el centro, de España</t>
  </si>
  <si>
    <t>Periodista y consultor de Comunicación. Hago editoriales en @ESdiario_com. Naranjo III en @herreraencope. Hablo en @EspejoPublico Fui profesor en la Carlos III.</t>
  </si>
  <si>
    <t>https://www.esdiario.com/secciones/1/89/autor/autores.html</t>
  </si>
  <si>
    <t>María</t>
  </si>
  <si>
    <t>Sr @Albert_Rivera sigue queriendo abolir la protección a las víctimas de violencia de género?Para cuando una macromanifestación en apoyo a las víctimas y sus familias? El número de asesinadas ha superado a los asesinados x ETA y no le veo para nada indignado ni preocupado</t>
  </si>
  <si>
    <t>Desobediente por naturaleza</t>
  </si>
  <si>
    <t>José Enrique Gómez</t>
  </si>
  <si>
    <t>Y con la ayuda de todos @vox_es @Santi_ABASCAL @PPopular @ESPCiudadana @Albert_Rivera @CiudadanosCs RT @spiriman: Y mañana pa Córdoba. Me pide el juez decano de Córdoba entre uno y cuatro años de prisión por tatatatatachán.......INJURIAS Y CALUMNIAS!!! 😂😂😂 Que el deje en libertad a un cabronazo por abusar de una menor, es una calumnia. Ya se verá.</t>
  </si>
  <si>
    <t>https://twitter.com/spiriman/status/1065677004308193283
https://youtu.be/BtHTaahF7Ag</t>
  </si>
  <si>
    <t>Voy de frente dando la cara, no me oculto ante las injusticias</t>
  </si>
  <si>
    <t>Toña Bethencourt</t>
  </si>
  <si>
    <t>Sin desperdicio! @Albert_Rivera desnudó a @sanchezcastejon incluso antes de que hiciera su maleta para #CUBA RT @Albert_Rivera: 🇨🇺 Sánchez da plantón a los disidentes cubanos para no molestar a la dictadura castrista, lamentable. Pero no nos sorprende. Esto ocurría hace un mes en el Congreso👇🏻</t>
  </si>
  <si>
    <t>https://twitter.com/Albert_Rivera/status/1065514851747930112</t>
  </si>
  <si>
    <t>pic.twitter.com/8ce98B7Kt2</t>
  </si>
  <si>
    <t>Comunicadora en vías de comunicación. Soy toda oídos.</t>
  </si>
  <si>
    <t>Mayro</t>
  </si>
  <si>
    <t>Un saludo @Albert_Rivera !!!!!  RT @La_SER: Albert Rivera evita calificar a Vox como un partido de ultraderecha La entrevista completa del líder de @CiudadanosCs en @HoyPorHoy con @PepaBueno →</t>
  </si>
  <si>
    <t>https://twitter.com/Santi_ABASCAL/status/256716529540939778
https://twitter.com/La_SER/status/1065154211707404288
http://cadenaser.com/programa/2018/11/20/hoy_por_hoy/1542712340_800654.html</t>
  </si>
  <si>
    <t>Bordaland</t>
  </si>
  <si>
    <t>Historia UCM 📚📚 La historia se repite dos veces, la primera como tragedia, la segunda como farsa PijiHippy Anti-Ofendiditos</t>
  </si>
  <si>
    <t>Roberto SaGut</t>
  </si>
  <si>
    <t>Todos estos catedráticos y profesores de derecho, académicamente están muy por encima de tu CV que no enseñas. A quien le hacemos caso entonces @Albert_Rivera ? #GPEDROSC</t>
  </si>
  <si>
    <t>https://pbs.twimg.com/media/DsoXhkJVsAEM396.jpg</t>
  </si>
  <si>
    <t>Licenciado en Derecho, Militante PSOE y Atlético a muerte. Llevo 38 años en mi trono, (minusválido), jeje , me gusta muxo la marcha, además del cine.</t>
  </si>
  <si>
    <t>📽 @Albert_Rivera "A Sánchez se le ha ido de las manos el monstruo de Frankenstein que construyó. Le pedimos al sanchismo que rectifique; no puede ser que estén más cómodos con los que escupen que con los que aplaudimos a su Ministro" #ActualidadCsRM</t>
  </si>
  <si>
    <t>pic.twitter.com/X3pDkjIWaz</t>
  </si>
  <si>
    <t>🌹manuela_murias🌹</t>
  </si>
  <si>
    <t>📺🔴 @susanadiaz: "@pablocasado_ parece que esconde a su propio candidato en #Andalucia y @Albert_Rivera está tutelando al suyo. @sanchezcastejon, en cambio, está comprometido y cumpliendo con #Andalucía" #MásAndalucía</t>
  </si>
  <si>
    <t>https://pbs.twimg.com/media/DsoT9UZWsAA3i-5.jpg</t>
  </si>
  <si>
    <t xml:space="preserve">LEON, la tierra de ZP </t>
  </si>
  <si>
    <t>Socialista-PSOE -Prefiero morir de pie,que vivir de rodillas.Un paso ATRAS, ni para coger impulso.Creo firmemente en mis principios.No,no todos somos iguales</t>
  </si>
  <si>
    <t>http://page.is/manuela-murias</t>
  </si>
  <si>
    <t>Fuenteovejuna</t>
  </si>
  <si>
    <t>Mañana, las portadas de los diarios constitucionalistas reflejarán las excusas de @InesArrimadas @Albert_Rivera @carrizosacarlos @pablocasado_ @DolorsM , entre otros, por haber injuriado repetidamente al MHP @QuimTorraiPla O eso, o es que son todos unos hijos de puta. RT @LauraBorras: Quina gran notícia per a la intel·ligència! Ara els guionistes de Ciudadanos hauran de modificar els seus arguments. Si llegeixen l’article en lloc de descontextualitzar-ne fragments,potser ho entendran. De passada continuo insistint en la necessitat de llegir allò del que parlen</t>
  </si>
  <si>
    <t>https://twitter.com/LauraBorras/status/1065632117642678272
https://twitter.com/vilaweb/status/1065625658582343684</t>
  </si>
  <si>
    <t>Ho faig per que puc. Puc per que vull. Vull per que vas dir que no podría fer-ho. #JosócCDR</t>
  </si>
  <si>
    <t>Los patriotas hispánicos @Albert_Rivera @pablocasado hacen gala de su populismo egolatra y callan ante la amenaza inglesa sobre el Peñón Tan monos ellos y liberales que están acobardados Solo quieren de May un 💋</t>
  </si>
  <si>
    <t>https://elpais.com/internacional/2018/11/22/actualidad/1542891796_421870.html</t>
  </si>
  <si>
    <t>Fernando Llopis</t>
  </si>
  <si>
    <t>#sensatez @Albert_Rivera propondrá que los nacionalistas tengan un 3% de los votos para entrar en el Congreso  vía @elmundoes</t>
  </si>
  <si>
    <t>Alicante</t>
  </si>
  <si>
    <t>Ninguno de nosotros es tan bueno como todos juntos. Metodologías ágiles. Ingeniero, liberal y del Atleti, peligrosa combinación. Mi blog:El último liberal</t>
  </si>
  <si>
    <t>http://www.fernandollopis.es</t>
  </si>
  <si>
    <t>LUGARESI</t>
  </si>
  <si>
    <t>Nunca es mala hora para decir que @Albert_Rivera esta mal colocado... en las futuras elecciones. #BlackFridayIsComing</t>
  </si>
  <si>
    <t>Pedagogía. La educación como herramienta de la transformación social. Izquierda. #DePontevedraalMetropolitano</t>
  </si>
  <si>
    <t>La intención de @CiudadanosCs de cambiar la ley electoral. Este sábado @Albert_Rivera en el plató de @SextaNocheTV RT @Albert_Rivera: 🎥 Los grupos separatistas que quieren liquidar España aprovechan su sobrerrepresentación en el @Congreso_Es para decidir por todos. Hay que decir basta desde la democracia: Proponemos un corte electoral mínimo del 3% para entrar en la Cámara nacional.</t>
  </si>
  <si>
    <t>https://twitter.com/Albert_Rivera/status/1065580497613537281</t>
  </si>
  <si>
    <t>pic.twitter.com/cCVhEbwr2r</t>
  </si>
  <si>
    <t>jjiggnacio</t>
  </si>
  <si>
    <t>Sí recuperemos los diputados y dejemos los disputados. Mas broncos q @gabrielrufian son @pablocasado_ y @Albert_Rivera RT @radiocable: “Recuperemos el sosiego, antes de que sea demasiado tarde” La apertura de La Cafetera del 22-11-2018 #LaCafeteraCrispaciOFF</t>
  </si>
  <si>
    <t>https://twitter.com/radiocable/status/1065510363926544384</t>
  </si>
  <si>
    <t>pic.twitter.com/rYiK7Vwh4C</t>
  </si>
  <si>
    <t>sin violencia, no sin palabra</t>
  </si>
  <si>
    <t>Jose Eriel Gomez 🎗(אריאללֵב)</t>
  </si>
  <si>
    <t>Si para @Albert_Rivera llamar "golpistas" a @Esquerra_ERC es "describirlos", entonces llamémosle a él y a su formación "fascistas". No porque lo haya dicho Tardá sino porque al negarse siquiera ayer a llamar a Vox "extrema-derecha" dejaron claro que piensan como fascistas.</t>
  </si>
  <si>
    <t>Washington, DC</t>
  </si>
  <si>
    <t>Bsc Neurociències-Minor Estudis de Israel (AU). Columnista-Escriptor. Jueu porto-riqueny amb un cor català.</t>
  </si>
  <si>
    <t>https://www.linkedin.com/in/jos%C3%A9-eriel-muniz-gomez-39185a103</t>
  </si>
  <si>
    <t>René 🐦🌍</t>
  </si>
  <si>
    <t>Cuándo @Albert_Rivera insulta al SG del @PSOE presentándolo como un "okupa" no solo de La Moncloa sino también de Ferraz, subvierte tanto la Democracia española y su Constitución, como la democracia interna faltando el respeto a la Militancia que eligió a @sanchezcastejon🌹 RT @socialistes_cat: 📺 El diputat al Congrés Manuel Cruz ha sigut entrevistat avui a @DebatAlRojoVivo sobre la #BroncaCongresoARV Pots veure de nou l'entrevista completa aquí 👇🏼</t>
  </si>
  <si>
    <t>https://twitter.com/socialistes_cat/status/1065599937038041088</t>
  </si>
  <si>
    <t>https://pbs.twimg.com/media/DsnFfWkU8AAEvC1.jpg</t>
  </si>
  <si>
    <t>Planeta Tierra</t>
  </si>
  <si>
    <t>Gritamos, berreamos, moqueamos, chillamos, maldecimos, porque es mejor llorar que traicionar, porque es mejor llorar que traicionarse (M. Benedetti) #YoConPedro</t>
  </si>
  <si>
    <t>Jordi Organo 💯🦇🇪🇸🇪🇺🤴🏳️‍🌈</t>
  </si>
  <si>
    <t>Hoy l@s valencian@s somos un poco más libres e iguales. #MarcaEspaña #LoveWins #DerechosHumanos #DerechosLGTBi #Igualdad #ComunitatValenciana #YoSoyCiudadano @salmebe @CsCValenciana @CsValencia_C @Albert_Rivera @InesArrimadas RT @Cs_LGTBI: 🌈 ¡Enhorabuena @CsCValenciana! 🙌 ‼️ Hoy es un gran día para el colectivo #LGTBI+ ya que sale adelante en @cortsval, a pesar de la abstención del PP, una ley que garantizará que la sociedad valenciana sea más abierta, diversa y plural. #LoveWins</t>
  </si>
  <si>
    <t>https://twitter.com/cs_lgtbi/status/1065243031635406848</t>
  </si>
  <si>
    <t>pic.twitter.com/R3CeaVwylM</t>
  </si>
  <si>
    <t>Chico gay, libre, orgulloso de ser Valenciano y Español. Activista LGTBi. Socio, accionista y peñista del Valencia CF, eurofan. Y a veces hablo de política...</t>
  </si>
  <si>
    <t>📰 @Albert_Rivera 'A Sánchez se le ha ido de las manos el monstruo de Frankenstein que construyó con Rufián, Iglesias, Torra y Bildu' 👉🏻 #ActualidadCsRM</t>
  </si>
  <si>
    <t>https://bit.ly/2DSAPM5</t>
  </si>
  <si>
    <t>https://pbs.twimg.com/media/DsoEoZpVYAEfzfU.jpg</t>
  </si>
  <si>
    <t>Lapatry_cruz</t>
  </si>
  <si>
    <t>Os acordais del anuncio contra la Violencia de Genero que decia algo asi como "Tu silencio te hace complice". Que animaba a denunciar a vecinos, etc? Pues explicarselo a @Albert_Rivera , que no lo pilla. RT @sotosinmas: Paparruchas</t>
  </si>
  <si>
    <t>https://twitter.com/sotosinmas/status/1065251099307847682</t>
  </si>
  <si>
    <t>https://pbs.twimg.com/media/DsiIOK8XoAEKDjY.jpg</t>
  </si>
  <si>
    <t>Valdepeñas, España</t>
  </si>
  <si>
    <t>Interiorista ilustrando maneras de perder el tiempo dignamente. -Lapatry Cruz-</t>
  </si>
  <si>
    <t>http://www.instagram.com/lapatry_cruz</t>
  </si>
  <si>
    <t>VdeRubén</t>
  </si>
  <si>
    <t>Pablo Casado y Albert Rivera tienen identidades secretas. Aporto pruebas:</t>
  </si>
  <si>
    <t>https://pbs.twimg.com/media/DsrOTbcXQAEZnj1.jpg</t>
  </si>
  <si>
    <t>Perifèria de BCN</t>
  </si>
  <si>
    <t>Citizen of Catalonian Republic. Defender la alegría como una trinchera, defenderla del escándalo y la rutina, de la miseria y los miserables</t>
  </si>
  <si>
    <t>Cs La Rioja</t>
  </si>
  <si>
    <t>📽️ @Albert_Rivera "Con un corte electoral del 3% los grupos nacionalistas que insultan a España no estarían en el Congreso" Más info 👉🏻</t>
  </si>
  <si>
    <t>http://bit.ly/2DQ6rlN</t>
  </si>
  <si>
    <t>pic.twitter.com/mRs3xNE6ZS</t>
  </si>
  <si>
    <t>Joan Carles López</t>
  </si>
  <si>
    <t>Albert Rivera se pasa al flamenco para conseguirse unos grammys</t>
  </si>
  <si>
    <t>https://www.eljueves.es/news/albert-rivera-se-pasa-flamenco-para-conseguirse-unos-grammys-2_2958?utm_source=facebook&amp;utm_medium=social&amp;utm_campaign=trafico&amp;fbclid=IwAR2q-OK0wjNgJjFXbSkoxCaUlIT0ygD4raZREDlV5IGX3NsFeBVwugcFiWM</t>
  </si>
  <si>
    <t>La Rioja, España</t>
  </si>
  <si>
    <t>Perfil oficial de Ciudadanos (Cs) La Rioja. Síguenos también en Facebook: http://facebook.com/CsLaRioja/</t>
  </si>
  <si>
    <t>http://larioja.ciudadanos-cs.org/</t>
  </si>
  <si>
    <t>REUS</t>
  </si>
  <si>
    <t>Experto en geobiologia y radiaciones del hábitat ,Contaminación electromagnética,cursos de ,electrosmog,electrosensibilidad, especialista en la casa enferma,</t>
  </si>
  <si>
    <t>http://www.gigahertz.es</t>
  </si>
  <si>
    <t>‼️Porque @Albert_Rivera es el presidente que nos merecemos los españoles‼️ 🗳👉🏻Propone un corte electoral del 3% para evitar espectáculos como el de ayer y que Rufián no humille a los españoles. #AhoraSiCordoba 🍊</t>
  </si>
  <si>
    <t>Mike</t>
  </si>
  <si>
    <t>Hola @Albert_Rivera , bajas a jugar?</t>
  </si>
  <si>
    <t>https://pbs.twimg.com/media/DsoDCuFWwAE2S16.jpg</t>
  </si>
  <si>
    <t>Light will lead the way, will set you free' | Ingeniería Aeroespacial 📚🚀</t>
  </si>
  <si>
    <t>‼️INMENSO @Albert_Rivera ‼️ 🗳👉🏻Propone un corte electoral del 3% para evitar espectáculos como el de ayer y que Rufián no humille a los españoles. 💥Menuda SOMANTA a Sánchez, Rufián y Pablo Iglesias ¡¡3 en 1!! #AhoraSiCordoba</t>
  </si>
  <si>
    <t>Sra @InesArrimadas y sres @CiudadanosCs y @Albert_Rivera @ferdeparamo El TSJC descarta delitos de odio en los artículos de @QuimTorraiPla ¿Van a pedirle disculpas? #tatarlak</t>
  </si>
  <si>
    <t>https://pbs.twimg.com/media/DsoC4njW0AIu585.jpg</t>
  </si>
  <si>
    <t>Pilar Gómez Magán - Cs Torrevieja</t>
  </si>
  <si>
    <t>Albert Rivera: 'A Sánchez se le ha ido de las manos el monstruo de Frankenstein que construyó con Rufián, Iglesias, Torra y Bildu'</t>
  </si>
  <si>
    <t>https://youtu.be/BCMKcPH6LK4</t>
  </si>
  <si>
    <t>Cuándo @Albert_Rivera insulta al SG del @PSOE presentándolo como un "okupa" no solo de La Moncloa sino también de Ferraz, subvierte tanto la Democracia española y su Constitución, como también la democracia interna faltando el respeto a la Militancia que eligió a @sanchezcastejon RT @socialistes_cat: 📺 El diputat al Congrés Manuel Cruz ha sigut entrevistat avui a @DebatAlRojoVivo sobre la #BroncaCongresoARV Pots veure de nou l'entrevista completa aquí 👇🏼</t>
  </si>
  <si>
    <t>Torrevieja, España</t>
  </si>
  <si>
    <t>Abogada, Concejal Portavoz de @Ciudadanos en Torrevieja</t>
  </si>
  <si>
    <t>http://facebook.com/PilarGomezMagan/</t>
  </si>
  <si>
    <t>Luis Esteban Rubio</t>
  </si>
  <si>
    <t>Francisco Rubira</t>
  </si>
  <si>
    <t>http://dlvr.it/QrvzTx</t>
  </si>
  <si>
    <t>https://pbs.twimg.com/media/DsrHxlmU4AASSTU.jpg</t>
  </si>
  <si>
    <t>Leading the business development at http://www.elconfidencialdigital.com frubira@elconfidencialdigital.com Working Hard. Party Hard. +34 617 116 766</t>
  </si>
  <si>
    <t>http://www.linkedin.com/in/frubira</t>
  </si>
  <si>
    <t>¡Qué vergüenza observar de manera tan patente (a) el grado de incoherencia, (b) la cobardía y (c) el interés electoral con el votante de extrema derecha por parte de @Albert_Rivera! RT @ander_errasti: PSOE? Amigos de los golpistas PNV? Racistas y egoístas Bildu? Etarras PDECat y ERC? Golpistas y supremacistas Podemos? Amigos de los golpistas y bolivarianos de extrema izquierda VOX? Yo no entro a valorar estas cosas. Eso se lo dejo a ustedes. Vaya tela. Y es reproducción soft</t>
  </si>
  <si>
    <t>https://twitter.com/ander_errasti/status/1065184052154691584
https://twitter.com/La_SER/status/1065154211707404288</t>
  </si>
  <si>
    <t>Iberia, Europa, Tierra</t>
  </si>
  <si>
    <t>παιδεία | φιλοσοφία | πολιτική | Doctorando en Derecho @uc3m | @EcoPoliticaOrg | 🏀</t>
  </si>
  <si>
    <t>https://ecopolitica.org/</t>
  </si>
  <si>
    <t>@CAMARALHOMBRO</t>
  </si>
  <si>
    <t>Lo mismo que llamarle fascista a @Albert_Rivera ni más ni menos. Una simple e incompleta descripción ya que él se merece mucho más.</t>
  </si>
  <si>
    <t>💥VAYA OSTIÓN💥Albert RIVERA ⚡️ZURRA⚡️ a RUFIÁN, a SÁNCHEZ y a PABLO IGLES...  vía @YouTube</t>
  </si>
  <si>
    <t>https://www.lavanguardia.com/politica/20181122/453092011111/rivera-golpistas-describir-insultar.html?utm_campaign=botones_sociales_app</t>
  </si>
  <si>
    <t>Xàtiva, España</t>
  </si>
  <si>
    <t>Batallador anti.izquierda destructora en la CV.</t>
  </si>
  <si>
    <t>Miguel delVado García</t>
  </si>
  <si>
    <t>Berta García Bilbao</t>
  </si>
  <si>
    <t>Parece una buena medida y que se ajusta a la lógico en un país como el nuestro:"Albert Rivera propondrá que los nacionalistas tengan un 3% de los votos para entrar en el Congreso". @Albert_Rivera ,  vía @elmundoes</t>
  </si>
  <si>
    <t>Albert Rivera confía en imponer su modelo para el Poder Judicial tras el fiasco de la negociación de PSOE y PP</t>
  </si>
  <si>
    <t>https://ift.tt/2FMkevw</t>
  </si>
  <si>
    <t>Huesca</t>
  </si>
  <si>
    <t>Ingeniero y ciudadano del mundo Cs</t>
  </si>
  <si>
    <t>Un vaso medio vacío de vino es también uno medio lleno, pero una mentira a medias, de ningún modo es una media verdad</t>
  </si>
  <si>
    <t>Hasta El Mismisimo</t>
  </si>
  <si>
    <t>casualmente son los mismos jueces encargados de juzgar a la manada, y me gustaría preguntarle a todos esos políticos @susanadiaz @sanchezcastejon @Albert_Rivera @pablocasado_ @anapastorjulian @InesArrimadas @Pablo_Iglesias_ @ierrejon ....que están en campaña ahora para</t>
  </si>
  <si>
    <t>Lo dije hace tiempo El populista hispánico @Albert_Rivera , patriota sin complejos,otorga honor, ética, moral y constitucionalismo como un emperador lapida enemigos Sin autocontrol ni capacidad de crítica Un tipejo crispado al igual ke Orban, Salvini, etc</t>
  </si>
  <si>
    <t>https://elpais.com/politica/2018/11/22/actualidad/1542883703_719013.html</t>
  </si>
  <si>
    <t>MERLIN.CU</t>
  </si>
  <si>
    <t>Aquí masajes "gratis" a @Albert_Rivera por parte de los medios de manipulación... RT @grancocolio: Ayudo a difundir este interesante vídeo de Spanish Revolutión donde explica bien clarito, en manos de quien está los medios de comunicación españoles.</t>
  </si>
  <si>
    <t>https://twitter.com/grancocolio/status/1065190030883340288</t>
  </si>
  <si>
    <t>pic.twitter.com/1Ptawfcsi7</t>
  </si>
  <si>
    <t>España-Cuba</t>
  </si>
  <si>
    <t>A favor del cambio que implique progreso. Son y Rock`n`Roll.</t>
  </si>
  <si>
    <t>🗞️ @Albert_Rivera e Ignacio Gordillo participarán en la concentración de @ESPCiudadana contra los indultos y por las elecciones Más info 👉🏻</t>
  </si>
  <si>
    <t>http://bit.ly/2DS0WD8</t>
  </si>
  <si>
    <t>https://pbs.twimg.com/media/Dsnx0ztWoAEYVNI.jpg</t>
  </si>
  <si>
    <t>Mathu_salen</t>
  </si>
  <si>
    <t>Presidencia sigue sin dar datos sobre el viaje en helicóptero de Sánchez a Aldeanueva de Cameros @UEmadrid @CasaReal @sanchezcastejon @pablocasado_ @Pablo_Iglesias_ @Albert_Rivera  vía @lariojacom</t>
  </si>
  <si>
    <t>https://www.larioja.com/la-rioja/sanchez-viajo-boda-20181106205854-nt.html</t>
  </si>
  <si>
    <t>Jubilado en activo.</t>
  </si>
  <si>
    <t>YoNoTengoTuiter</t>
  </si>
  <si>
    <t>Albert Rivera propondrá que los nacionalistas tengan un 3% de los votos para entrar en el Congreso  por @Luis_Angel_Sanz</t>
  </si>
  <si>
    <t>Leche Mal</t>
  </si>
  <si>
    <t>Oye @gabrielrufian @jordi_canyas @Albert_Rivera dejad de pelearos por la unidad de España y que alquien me de una buena receta de peus de porc, haced el favor. #LosProblemasReales</t>
  </si>
  <si>
    <t xml:space="preserve"> Tír na nÓg  </t>
  </si>
  <si>
    <t>A VER OH !!!</t>
  </si>
  <si>
    <t>vivo con tu madre</t>
  </si>
  <si>
    <t>https://twitter.com/milkwasabad/timelines/517599773244006400</t>
  </si>
  <si>
    <t>Protestona</t>
  </si>
  <si>
    <t>Yo hasta que no me tomo dos cafés y escucho diez veces a Albert Rivera decir golpistas no soy persona. #FelizFinde</t>
  </si>
  <si>
    <t>Europa abre la puerta de Aragón al mar valenciano no al cantábrico? @UEmadrid @CasaReal @sanchezcastejon @Pablo_Iglesias_ @pablocasado_ @Albert_Rivera  vía @periodicoaragon</t>
  </si>
  <si>
    <t>https://www.elperiodicodearagon.com/noticias/aragon/europa-abre-puerta-aragon-mar_1325430.html</t>
  </si>
  <si>
    <t>Republicana, feminista, atea y roja. Partisana. De Podemos. http://Instagram.com/Protestona1 TLG https://t.me/protestona1 https://www.facebook.com/Protestona2/</t>
  </si>
  <si>
    <t>http://alcantarillasocial.com/author/protestona1</t>
  </si>
  <si>
    <t>Sr. K</t>
  </si>
  <si>
    <t>Señores @sanchezcastejon , @Albert_Rivera y @pablocasado_ les voy dejando una tesis por aquí, para que sepan qué pinta tiene.  Ya les advierto que no es mía, es un tal Brian Harold May, alguien realmente bueno en lo que hace. Un saludo y buenas tardes.</t>
  </si>
  <si>
    <t>https://spiral.imperial.ac.uk/bitstream/10044/1/1333/1/May-BH-2007-PhD-Thesis.pdf?fbclid=IwAR3SMrttJdwOYd5ei5I4PShm7NcSbRjq4m_FXCkuyvnPpyQ8EfUhgFJBzCw</t>
  </si>
  <si>
    <t>En un lugar oscuro del Ensueño</t>
  </si>
  <si>
    <t>En ocasiones meto la pata. Me fui. Volví. A veces para encontrarse hay que perderse. Se puede hablar de tetas y de política y no perder nunca las formas.</t>
  </si>
  <si>
    <t>Hablando con mis hijos sobre ciberseguridad después de ver en el cine y con la excusa de Ready Player One @CasaReal @UEmadrid @sanchezcastejon @Pablo_Iglesias_ @pablocasado_ @Albert_Rivera  vía @angelgavin</t>
  </si>
  <si>
    <t>https://www.elmiracielos.com/miscelanea/ciberseguridad-ready-player-one/</t>
  </si>
  <si>
    <t>📽 @Albert_Rivera "Casado y Sánchez han denigrado la imagen de la Justicia. Los fiscales y jueces hacen manifestaciones para pedir independencia judicial; por eso pedimos que los políticos no elijan a los jueces"</t>
  </si>
  <si>
    <t>pic.twitter.com/EzmTWygIlZ</t>
  </si>
  <si>
    <t>Raimon García</t>
  </si>
  <si>
    <t>España monarquía no está en la lista de oro y Francia republicana no está en la lista negra. Por poner 2 ejemplos de cuan cuñado se puede llegar a ser. Pd: ha hecho retweet el dios cuñado: @Albert_Rivera ahí lo dejo. RT @jitorreblanca: Estimados @Pablo_Iglesias_ y @agarzon Entre los 20 países más ricos, democráticos y desarrollados del mundo hay 12 que tienen un monarca como jefe de estado. Y los 20 países más pobres del mundo y con peor índice de desarrollo humano son todos repúblicas.</t>
  </si>
  <si>
    <t>https://twitter.com/jitorreblanca/status/1065620157656109058</t>
  </si>
  <si>
    <t>https://pbs.twimg.com/media/DsnV_BOWkAEjB9a.jpg</t>
  </si>
  <si>
    <t>Coma-Ruga, República Catalana</t>
  </si>
  <si>
    <t>Economista, gestor, consignatari, català, culé, socialdemòcrata, reformista i indepe | @CridaNacional | #LlibertatPresosPoliticsiExiliats | #RepublicaCatalana</t>
  </si>
  <si>
    <t>Vaja vaja vaja... curiós... @InesArrimadas @Albert_Rivera @pablocasado_ @Santi_ABASCAL @PPopular @PPCatalunya @miqueliceta @vox_es @CiudadanosCs @CiutadansCs @PSOE @socialistes_cat @GobDeEspana #LlibertatPresosPoliticsiexiliats RT @eldiarioes: 📑 Más de 120 catedráticos y profesores de Derecho rechazan las acusaciones de rebelión y sedición en el caso 'procés'</t>
  </si>
  <si>
    <t>https://twitter.com/eldiarioes/status/1065528713595490304
https://www.eldiario.es/catalunya/politica/Catedraticos-profesores-banalizacion-rebelion-sedicion_0_838166505.html</t>
  </si>
  <si>
    <t>RaiBlaider</t>
  </si>
  <si>
    <t>Sinvergüenza se queda muy corto @Albert_Rivera RT @ander_errasti: PSOE? Amigos de los golpistas PNV? Racistas y egoístas Bildu? Etarras PDECat y ERC? Golpistas y supremacistas Podemos? Amigos de los golpistas y bolivarianos de extrema izquierda VOX? Yo no entro a valorar estas cosas. Eso se lo dejo a ustedes. Vaya tela. Y es reproducción soft</t>
  </si>
  <si>
    <t>‼️INMENSO @Albert_Rivera ‼️ 🗳👉🏻Propone un corte electoral del 3% para evitar espectáculos como el de ayer y que Rufián no humille a los españoles. 💥Menuda SOMANTA a Sánchez, Rufián y Pablo Iglesias ¡¡3 en 1!!</t>
  </si>
  <si>
    <t>Fernando Jiménez ¡¡Español!!</t>
  </si>
  <si>
    <t>El presidente de Ciudadanos, Albert Rivera, ha vuelto a proponer la aprobación de un umbral mínimo del 3% de los votos a nivel nacional para tener representación en el Congreso de los Diputados. Y lo hará...</t>
  </si>
  <si>
    <t>http://www.facebook.com/fernando.jimenez.12720</t>
  </si>
  <si>
    <t>Más influyentes ahora en Derecha/Centro Dcha.: ➀ @Alvisepf ↓ ➁ @jitorreblanca ↓ ➂ @ldpsincomplejos ↑ ➃ @Desayunos_tve ↑ ➄ @AntonioRNaranjo ↑↑ ➅ @ConsuorF ↑↑ ➆ @yolandacmorin ↓ ➇ @Albert_Rivera ↓ ➈ @carmelojorda ↓</t>
  </si>
  <si>
    <t>miliciano</t>
  </si>
  <si>
    <t>Los Jusapol junto con Inés Arrimadas y Albert Rivera, se manifestarán en él peñón de Gibraltar para pedir la equiparación salarial.</t>
  </si>
  <si>
    <t>Ateo ,Rojo, Republicano y con alergia a la Monarquia.</t>
  </si>
  <si>
    <t>Joan Estrems 🎗🎗</t>
  </si>
  <si>
    <t>Todos los fieles subditos ciegos de @Albert_Rivera repitiendo los mantras contra Quim Torra. Frases sobre genes y hienas q no ha pronunciado. Un millon de euros a quien me muestre un tuit o vídeo donde figuren esas palabras de su boca. @CiudadanosCs es Goebbles #TodosConJuan</t>
  </si>
  <si>
    <t>Jos Prado</t>
  </si>
  <si>
    <t>Es que la falta de solidez de Albert Rivera es tan, tan, tan evidente...más que reir, dan ganas de llorar... RT @marinaLobL: Albert Rivera lleva años hablando de “separatistas, bolivarianos y proetarras” pero le piden que defina a Vox y no lo hace porque “no es analista político”. Es que te tienes que reír.</t>
  </si>
  <si>
    <t>Català, amant de la música, de Catalunya i del meu Barça. Enamorat de la meva dona i aferrat a la vida. Republicà. https://spanishpolice.github.io/</t>
  </si>
  <si>
    <t>https://twitter.com/marinaLobL/status/1065219820482936833</t>
  </si>
  <si>
    <t>Advocat. Llicenciat en Ciències Polítiques.</t>
  </si>
  <si>
    <t>Claro q @sanchezcastejon NO CONDENA lo DEL ESPUTO. lo mismo @abalosmeco LENINISTA Y MAQUIAVÉLICO. Todo vale para el apoyo de @gabrielrufian PERO PERO quienes admiramos al @PSOE ODIAMOS esto. Y EL ENJUAGUE DEL TRIBUNAL SUPREMO DE REPARTIJA PAGARÁ @susanadiaz GANARA @Albert_Rivera RT @pepeonet: Jordi Salvado el escupidor nacionalista le da la vuelta al escándalo y dice que “No hubo ningún escupitajo, y que Borrell además , debería pedir disculpas' toma del frasco Carrasco ..,@lavanguardia</t>
  </si>
  <si>
    <t>https://twitter.com/pepeonet/status/1065623359789125632
https://www.lavanguardia.com/politica/20181122/453090602343/jordi-salvador-diputado-erc-escupitajo-josep-borrell-disculparse.html?utm_campaign=botones_sociales&amp;utm_source=twitter&amp;utm_medium=social</t>
  </si>
  <si>
    <t>E T X E B E 🎗®️</t>
  </si>
  <si>
    <t>Verás cuando se enteren los Españoles y muy Españoles, que se preparen en el English channel que envían otra "escuadra invencible". ¿Os lo traducimos @pablocasado_ , @Albert_Rivera @Santi_ABASCAL ? RT @fifimadrid: British supermarket @Morrisons is launching the ultimate Christmas treat (apparently): Cheesy churros with tomato and red pepper sauce for dipping. Wait until Spain hears about this...</t>
  </si>
  <si>
    <t>https://twitter.com/fifimadrid/status/1065623492018794498
https://bit.ly/2KqqGqx</t>
  </si>
  <si>
    <t>https://pbs.twimg.com/media/Dsnah_rWkAYbTJO.jpg</t>
  </si>
  <si>
    <t>Para Albert Rivera, votar, es un golpe de estado, y el asesino Franco, un gran demócrata, eso es lo que piensa en niñato fascista</t>
  </si>
  <si>
    <t>Auskalo</t>
  </si>
  <si>
    <t>"No quería ser jugador de fútbol, quería ser jugador de la @RealSociedad", Xabier Prieto Argarate. Para lo que haga falta, Donostiarra y Txuriurdin.</t>
  </si>
  <si>
    <t>https://www.booking.com/s/44_6/etxmen82</t>
  </si>
  <si>
    <t>Lluis Ducet</t>
  </si>
  <si>
    <t>Ines, Inesita @InesArrimadas mejor que te quedes en la tierra de tus padres a defender los derechos de los andaluces que falta les hace, recuerda que @Albert_Rivera les queria dar cañas de pescar. RT @VilaWeb: Clatellada a Arrimadas i Carrizosa</t>
  </si>
  <si>
    <t>https://twitter.com/VilaWeb/status/1065646105071927296
https://www.vilaweb.cat/noticies/el-president-mundial-dels-defensors-del-poble-renya-arrimadas-i-carrizosa-pels-atacs-contra-ribo/?f=rel</t>
  </si>
  <si>
    <t>Esplugues de Llobregat</t>
  </si>
  <si>
    <t>Advocat, català i no voldria deixar aquest mon sense veure la República catalana independent</t>
  </si>
  <si>
    <t>chiscas</t>
  </si>
  <si>
    <t>Dedicado a gabrielrufian @JosepBorrellF @JoanTarda @sanchezcastejon @Pablo_Iglesias_ @pablocasado_ @Albert_Rivera, por aquello de otras perspectivas cuando se tiene otra altura de miras</t>
  </si>
  <si>
    <t>https://pbs.twimg.com/media/Dsnter6WwAIW7Sk.jpg</t>
  </si>
  <si>
    <t>42.970347,-8.415808</t>
  </si>
  <si>
    <t>Desde que naces te cuentan cómo es el mundo y cómo tienes que ser. El resto de la vida te la pasas desenredando, tratando de ser como crees que debes ser, LIBRE</t>
  </si>
  <si>
    <t>Juancar Misis</t>
  </si>
  <si>
    <t>Albert Rivera va a ir hoy al estreno de Super FAR López</t>
  </si>
  <si>
    <t>https://pbs.twimg.com/media/Dsq017AXgAAc_KQ.jpg</t>
  </si>
  <si>
    <t>Trs</t>
  </si>
  <si>
    <t>Tiene perdida de memoria, no seais crueles!!! @Albert_Rivera RT @ander_errasti: PSOE? Amigos de los golpistas PNV? Racistas y egoístas Bildu? Etarras PDECat y ERC? Golpistas y supremacistas Podemos? Amigos de los golpistas y bolivarianos de extrema izquierda VOX? Yo no entro a valorar estas cosas. Eso se lo dejo a ustedes. Vaya tela. Y es reproducción soft</t>
  </si>
  <si>
    <t>Madrileño por el mundo. De Alcorcón, exiliado. Siempre con Podemos, luchando por el cambio. Un mundo mejor es posible!</t>
  </si>
  <si>
    <t>pobrecito hablador</t>
  </si>
  <si>
    <t>Mirad @gabrielrufian @Albert_Rivera Esto es política, esto es un político. RT @Ciddavid: Ahora vemos con asombro cómo en España los ganadores de la crisis se resisten a una justa contribución por los beneficios obtenidos Avui debat sobre fiscalitat al #Parlament i sorpresa: C’s, PP, JuntsxCat i ERC votant el mateix sobre l’impost de successions.</t>
  </si>
  <si>
    <t>https://twitter.com/Ciddavid/status/1065615961351442432</t>
  </si>
  <si>
    <t>pic.twitter.com/Klw38Zwg6I</t>
  </si>
  <si>
    <t>Vengo del tiempo para ver y para hablar de nuevo.Vengo a vivir las vidas que quise vivir pero que no existían.Vengo buscando a Dolores, por si se acuerda de mí.</t>
  </si>
  <si>
    <t>http://elpobrecitohabladordelsigloXXI.blogspot.com</t>
  </si>
  <si>
    <t>👉 @Albert_Rivera 'A Sánchez se le ha ido de las manos el monstruo de Frankenstein que construyó con Rufián, Iglesias, Torra y Bildu' 🗞 Puedes leer más a continuación:</t>
  </si>
  <si>
    <t>https://pbs.twimg.com/media/Dsno5MWWwAAJTQH.jpg</t>
  </si>
  <si>
    <t>Gonzalo🎗</t>
  </si>
  <si>
    <t>Albert Rivera también suele utilizar el término comunista, populista o chavista o similares para tratar de denigrar a sus adversarios. Por el contrario, el líder de Ciudadanos se niega a calificar a Vox como extrema derecha.</t>
  </si>
  <si>
    <t>https://www.publico.es/espana/manipula-derecha-mezcla-franquismo-comunismo.html</t>
  </si>
  <si>
    <t>Es ahora.</t>
  </si>
  <si>
    <t>Escucho ahora en @La_SER que la MJusticia ha sido reprobado en Congreso Los canallas populistas hispánicos @Albert_Rivera @pablocasado_ siguen con su gamberrismo político en vez d reprobar el tribunal que ha dictado esta vergonzosa sentencia Tanta patria se atraganta Dan asco RT @juluniver: Estos jueces deberían ser expulsados de la carrera judicial Sancionados d por vida por el #CGPJ Por quien? Imposible =es un organo corrompido ///// Audiencia de Lleida condena por abusos y no por agresión a dos hombres que violaron a una joven  vía @el_pais</t>
  </si>
  <si>
    <t>https://twitter.com/juluniver/status/1065589414888448000
https://elpais.com/sociedad/2018/11/22/actualidad/1542880585_996332.html?id_externo_rsoc=TW_CC</t>
  </si>
  <si>
    <t>Veo Info</t>
  </si>
  <si>
    <t>https://www.veoinfo.com/albert-rivera-confia-en-imponer-su-modelo-para-el-poder-judicial-tras-el-fiasco-de-la-negociacion-de-psoe-y-pp/</t>
  </si>
  <si>
    <t>https://pbs.twimg.com/media/Dsqq1XRVYAAVNzO.jpg</t>
  </si>
  <si>
    <t>El Mundo</t>
  </si>
  <si>
    <t>En Veo Info - La Casa de la Información . Las últimas noticias sobre Política, sucesos, deportes, ciencia, tecnología, y mucho + en Veo Info.</t>
  </si>
  <si>
    <t>http://Veoinfo.com</t>
  </si>
  <si>
    <t>Más comentados ahora en Derecha/Centro Dcha.: ➀ @Alvisepf ↓ ➁ @sanchezcastejon ↓ ➂ @JosepBorrellF ↑ ➃ @Desayunos_tve ↑ ➄ @gabrielrufian ↑ ➅ @jitorreblanca ↑↑↑ ➆ @ldpsincomplejos ↑ ➇ @Albert_Rivera ↓ ➈ @agarzon ↓</t>
  </si>
  <si>
    <t>Jordi Pedragosa</t>
  </si>
  <si>
    <t>Con perdon, a el si le escupiria yo.....</t>
  </si>
  <si>
    <t>https://www.lavanguardia.com/politica/20181122/453091407207/albert-rivera-acusa-psoe-minimizar-independentistas-escupen-espana.html</t>
  </si>
  <si>
    <t>Vilafranca del Penedes</t>
  </si>
  <si>
    <t>Community Manager titulado de la UOC</t>
  </si>
  <si>
    <t>Más influyentes ahora en Derecha/Centro Dcha.: ➀ @Alvisepf ↓ ➁ @Desayunos_tve ↑ ➂ @jitorreblanca ↑↑↑ ➃ @ldpsincomplejos ↓ ➄ @carmelojorda ↑ ➅ @Albert_Rivera ↓ ➆ @5chuspis ↑ ➇ @rosadiezglez ↓ ➈ @javiernegre10 ↑</t>
  </si>
  <si>
    <t>Jose A. Fombuena 🇪🇸</t>
  </si>
  <si>
    <t>Albert Rivera propondrá que los nacionalistas tengan un 3% de los votos para entrar en el Congreso  por @Luis_Angel_Sanz #sensatez</t>
  </si>
  <si>
    <t>josevi.linformatico</t>
  </si>
  <si>
    <t>Parece que @CiudadanosCs saca un bus para pedir que no se indulte a unas personas que aún no han sido juzgadas oficialmente, @Albert_Rivera que gran VISIONARIO tenemos.</t>
  </si>
  <si>
    <t>Llíria- Valencia</t>
  </si>
  <si>
    <t>“El hombre sabe transformar el mundo exterior con su genio . Aprenda a transformar sus egoísmos, y entonces si que todo será luz.” José Echegaray</t>
  </si>
  <si>
    <t>andrea Pérez 🍊🇪🇸</t>
  </si>
  <si>
    <t>Una medida excepcional @Albert_Rivera RT @Tonicanto1: Albert Rivera propondrá que los nacionalistas tengan un 3% de los votos para entrar en el Congreso.</t>
  </si>
  <si>
    <t>Santa Pola</t>
  </si>
  <si>
    <t>Mujer Independiente Jefa y compañera</t>
  </si>
  <si>
    <t>Javier Marcos Angulo</t>
  </si>
  <si>
    <t>Albert Rivera confía en imponer su modelo para el Poder judicial tras el fiasco de la negociación de PSOE y PP  vía @eldiarioes</t>
  </si>
  <si>
    <t>En @laventana hablan d la violencia contra las mujeres Alguien ha oído a populistas patrióticos @Albert_Rivera @pablocasado_ convocar rueda d prensa o en redes sociales para solidarizarse con la víctima y exigir justicia? Más preocupados por Venezuela que por sus conciudadanos RT @juluniver: Estos jueces deberían ser expulsados de la carrera judicial Sancionados d por vida por el #CGPJ Por quien? Imposible =es un organo corrompido ///// Audiencia de Lleida condena por abusos y no por agresión a dos hombres que violaron a una joven  vía @el_pais</t>
  </si>
  <si>
    <t>https://m.eldiario.es/_31f01323</t>
  </si>
  <si>
    <t>Aprendiz de la vida, busco la verdad.</t>
  </si>
  <si>
    <t>http://javiermarcosangulo.blogspot.com.es</t>
  </si>
  <si>
    <t>xavi</t>
  </si>
  <si>
    <t>Llamar "FASCISTA" no es "INSULTAR" es SER JUSTO con la "CRUDA REALIDAD" @Albert_Rivera</t>
  </si>
  <si>
    <t>📽️ @Albert_Rivera "Frente al acoso de los jueces y el señalamiento los constitucionalistas debemos estar unidos. Los españoles no se merecen que los que quieran liquidar nuestro país tengan las riendas de este país. ¡Convoquen elecciones ya!"</t>
  </si>
  <si>
    <t>pic.twitter.com/fWmmDSnJea</t>
  </si>
  <si>
    <t>#NiOblitNiPerdó #CapPasEnrera</t>
  </si>
  <si>
    <t>Aquest home, no es troba bé del cap!!!!! Rivera acusa a los independentistas de "escupir a España"</t>
  </si>
  <si>
    <t>https://www.elnacional.cat/es/politica/albert-rivera-acusa-independentistas-escupir-espana_327351_102.html</t>
  </si>
  <si>
    <t>📰 @Albert_Rivera e Ignacio Gordillo participan en la concentración de @ESPCiudadana contra los indultos y por las elecciones. 👉</t>
  </si>
  <si>
    <t>Sant Boi de Llob., Catalunya</t>
  </si>
  <si>
    <t>Lluitar pels somnis, no deixa mai de ser tú, viuré, creuré, gaudir !!!!</t>
  </si>
  <si>
    <t>https://pbs.twimg.com/media/DsniJDQWkAAVFSj.jpg</t>
  </si>
  <si>
    <t>merry Yamachristmas</t>
  </si>
  <si>
    <t>Resacón en Las Vegas pero los protagonistas son Albert Rivera, Pablo Casado, Santiago Abascal y Rosa Díez.</t>
  </si>
  <si>
    <t>新生 white knight</t>
  </si>
  <si>
    <t>[ESP/ENG] \\ Los débiles se dejan llevar por las olas del destino; los fuertes, se las beben. // NU PIDZEC || Diseño Gráfico.</t>
  </si>
  <si>
    <t>http://politiquetaizquierdista.com</t>
  </si>
  <si>
    <t>La mentira tiene las piernas cortas, y ellos lo saben muy bien: @pnique @ahorapodemos ¿Cómo era eso?, “a los autónomos no se les subirá la cuota”, ¿no? … ¿Quién mentía?... @Albert_Rivera @CiudadanosCs RT @pnique: @Albert_Rivera @autonomosata @lorenzoamor_ata @MayoSoraya @cferreroromero Estimados representantes de @autonomosata, el Sr Rivera lleva días mintiendo con este tema. No sé subirá la cuota a NINGÚN autónomo y se bajará la de los que ganan menos de 12000€ al año. Aquí la explicación 👉  Abajo la legislación 👇 No se dejen engañar.</t>
  </si>
  <si>
    <t>http://elpais.com/economia/2018/
https://twitter.com/pnique/status/1052151425726320641
https://twitter.com/pnique/status/1051870922871922689</t>
  </si>
  <si>
    <t>El día que nosotros seamos más, entonces los locos serán ellos... Opiniones personales</t>
  </si>
  <si>
    <t>Jose Luis Sanchez</t>
  </si>
  <si>
    <t>Lo que hay es cambiar toda la Ley Electoral para que 1 voto de Bilbao o de Gerona valga lo mismo que un voto de Murcia y entren partidos demócratas como @vox_es @Santi_ABASCAL @Albert_Rivera propondrá que los nacionalistas tengan un 3% para  vía @elmundoes</t>
  </si>
  <si>
    <t>No preguntes qué puede hacer tu País por tí. Pregúntante qué puedes hacer TÚ por tu PAIS. En Vox desde el Día 0</t>
  </si>
  <si>
    <t>Intransigente 11/06</t>
  </si>
  <si>
    <t>💥VAYA OSTIÓN💥Albert RIVERA ⚡️ZURRA⚡️ a RUFIÁN, a SÁNCHEZ y a PABLO IGLESIAS ¡¡3X1!!</t>
  </si>
  <si>
    <t>Pepe Fernandez</t>
  </si>
  <si>
    <t>Lo vengo diciendo desde hace tiempo, @ciudadanos es una bomba de relojería, todos buscan trabajo en la política y ahora vienen los enfados. Esta semana viene @Albert_Rivera Y @InesArrimadas Y dimite en bloque la directiva de @CsJerezFrontera</t>
  </si>
  <si>
    <t>https://m.eldiario.es/andalucia/Ciudadanos_0_828718257.html</t>
  </si>
  <si>
    <t>Metropolitana de Santiago, Chi</t>
  </si>
  <si>
    <t>Justicia y verdad histórica, volver a nuestros orígenes, honrando a nuestros ancestros, para unirnos y avanzar juntos hacia el futuro. Viva la cultura Hispana❌.</t>
  </si>
  <si>
    <t>Ciudadano. Desilusionado. con Discapacidad, Activista</t>
  </si>
  <si>
    <t>@CDRFreedomfighter</t>
  </si>
  <si>
    <t>Quiero agradecer a @Albert_Rivera sus twitts condenando esta agresion a la sede de la #ANC en #Terrassa. Gracias por nada mentiroso. #CiudadanosMienteMasQueHabla #CiudadanosMienteMasQueHabla #CiudadanosMienteMasQueHabla #CiudadanosMienteMasQueHabla #CiudadanosMienteMasQueHabla</t>
  </si>
  <si>
    <t>https://pbs.twimg.com/media/DsncPrzWoAAI8eR.jpg</t>
  </si>
  <si>
    <t>Luchando sin violencia. Cada vez mas radical, cada vez mas necesari@s. Para ser realmente grande, hay q estar con la gente, no por encima de ella. (Montesquieu)</t>
  </si>
  <si>
    <t>Josep-Lluís Domènech🎗️</t>
  </si>
  <si>
    <t>#Parlamento #Parlament #BroncaCongresoARV Seria conveniente que varios diputados: @gabrielrufian @Albert_Rivera @JosepBorrellF @pablocasado_ entre otros se leyeran el Libro ANECDOTAS DEL PARLAMENTO de Luis Carandell o el libr de sesiones de la II Republica</t>
  </si>
  <si>
    <t>https://pbs.twimg.com/media/DsnavsZWoAE7jcv.jpg</t>
  </si>
  <si>
    <t>Francmaçó i Escriptor. REPUBLICA CATALANA. Llibertat-Igualtat- Fraternitat (http://twiends.com/wolfgangamadeus)</t>
  </si>
  <si>
    <t>http://www.joseplluisdomenech.cat</t>
  </si>
  <si>
    <t>María Dolores Amorós</t>
  </si>
  <si>
    <t>Vaya vaya... con lo valiente que parece ser!! El apuro de Rivera cuando le preguntan si Vox es extrema derecha via @El_Plural</t>
  </si>
  <si>
    <t>https://www.elplural.com/politica/albert-rivera-extrema-derecha-vox-respuesta-entrevista_206736102</t>
  </si>
  <si>
    <t>Andrea Ropero</t>
  </si>
  <si>
    <t>El presidente de @CiudadanosCs @Albert_Rivera, la periodista Isabel Gemio y el actor @atorrem estarán este sábado en @SextaNocheTV. Os esperamos!!!</t>
  </si>
  <si>
    <t>País Valencià</t>
  </si>
  <si>
    <t>De izquierdas ¿no se nota?Incompatible con el fascio. Catedrática de Lengua Española.</t>
  </si>
  <si>
    <t>http://mariadoloresamoros.blogspot.com</t>
  </si>
  <si>
    <t>Periodista. Nos vemos los sábados en @sextanocheTV. Antes, 7 años de reportajes y directos en @sextanoticias</t>
  </si>
  <si>
    <t>Cs CLM</t>
  </si>
  <si>
    <t>📝 @Albert_Rivera "A Sánchez se le ha ido de las manos el monstruo de Frankenstein que construyó con Rufián, Iglesias, Torra y Bildu" 📲 Aquí la nota de prensa completa:</t>
  </si>
  <si>
    <t>https://pbs.twimg.com/media/DsnZurnWkAAbwE0.jpg</t>
  </si>
  <si>
    <t>Perfil Oficial. Partido político progresista, surgido de un movimiento de ciudadanos que quieren regenerar la política. https://www.facebook.com/CiudadanosCLM/</t>
  </si>
  <si>
    <t>http://castillalamancha.ciudadanos-cs.org</t>
  </si>
  <si>
    <t>Miguel</t>
  </si>
  <si>
    <t>Albert Rivera en los tipo test marcaba todas las opciones</t>
  </si>
  <si>
    <t>.@Albert_Rivera e Ignacio Gordillo participan en la concentración de '#España Ciudadana' contra los indultos y por las elecciones @CiudadanosCs</t>
  </si>
  <si>
    <t>http://www.lacerca.com/noticias/espana/albert-rivera-ignacio-concentracion-espana-ciudadana-indultos-elecciones-446205-1.html</t>
  </si>
  <si>
    <t>Pontevedra</t>
  </si>
  <si>
    <t>A veces subo memes buenos... a veces. Estudiante de Física</t>
  </si>
  <si>
    <t>Más comentados ahora en Derecha/Centro Dcha.: ➀ @Alvisepf ↑↑ ➁ @sanchezcastejon ↓ ➂ @JosepBorrellF ↓ ➃ @Desayunos_tve ↓ ➄ @gabrielrufian ↓ ➅ @ldpsincomplejos ↓ ➆ @Albert_Rivera ↑ ➇ @PSOE ↑ ➈ @rosadiezglez ↑</t>
  </si>
  <si>
    <t>Más influyentes ahora en Derecha/Centro Dcha.: ➀ @Alvisepf ↓ ➁ @ldpsincomplejos ↑↑ ➂ @Desayunos_tve ↑ ➃ @Albert_Rivera ↑ ➄ @rosadiezglez ↑ ➅ @Santi_ABASCAL ↑ ➆ @carmelojorda ↓ ➇ @CiudadanosCs ↑ ➈ @javiernegre10 ↑</t>
  </si>
  <si>
    <t>Juan R. Garcia-Rico</t>
  </si>
  <si>
    <t>Sres. @pablocasado_ y @Albert_Rivera : ustedes son muy dados a usar Twitter para lanzar sus mensajes, pero éstos son bastante irrespetuosos e incendiarios, y no solo eso, dan pie a que les contesten, no siempre de buenos modos, dejando a la gente que lo incremente sin control.</t>
  </si>
  <si>
    <t>soy bastante imperfecto, por eso adoro a la gente que esta conmigo, porque conocen mis imperfecciones y aún así, siguen a mi lado</t>
  </si>
  <si>
    <t>Manolo Gallego</t>
  </si>
  <si>
    <t>La política en manos de gente con poca o muy poca formación política, pasa a ser un arma terrible y muy peligrosa si cae en sus manos. Verdad que si super formados @pablocasado_ y @Albert_Rivera .</t>
  </si>
  <si>
    <t>🎗Ricard🎗</t>
  </si>
  <si>
    <t>"No hay democracia si los líderes de la oposición o los líderes electos están en la cárcel o en régimen penitenciario". Albert Rivera, maig 2016  RT @jmangues: Normalment tallo les intervencions perquè senceres penso que són molt llargues, però aquesta l'heu de veure. Només són 5 minuts, però és una clatellada rere clatellada, les cares de C's són un poema. Quina lliçó, brutal avui Gerard Gómez!</t>
  </si>
  <si>
    <t>https://www.eldiario.es/politica/Prohiben-Albert-Rivera-Caracas-domiciliario_0_519698048.html
https://twitter.com/jmangues/status/1065691934830837762</t>
  </si>
  <si>
    <t>pic.twitter.com/E0J3QEcEOy</t>
  </si>
  <si>
    <t>Ricard Garcia</t>
  </si>
  <si>
    <t>Quien a buen árbol se arrima, buen perro se le mea.</t>
  </si>
  <si>
    <t>Contexto</t>
  </si>
  <si>
    <t>Aquí tiene razón, @Albert_Rivera por un voto..... RT @ander_errasti: PSOE? Amigos de los golpistas PNV? Racistas y egoístas Bildu? Etarras PDECat y ERC? Golpistas y supremacistas Podemos? Amigos de los golpistas y bolivarianos de extrema izquierda VOX? Yo no entro a valorar estas cosas. Eso se lo dejo a ustedes. Vaya tela. Y es reproducción soft</t>
  </si>
  <si>
    <t>indignado9999</t>
  </si>
  <si>
    <t>No es por nuestro espíritu aventurero Sr. @ierrejon, hambre y miedo son las causas. @Congreso_Es @Senadoesp @abc_es @elmundoes @el_pais @PSOE @Ppopular @CiudadanosCs @sanchezcastejon @JMAznar_ES @CasaReal @Albert_Rivera @idalmac46 @hermanntertsch @JosepBorrellF @beatrizbecerrab RT @la_patilla: Más de cuatro millones de venezolanos han huido del país desde que Maduro asumió el poder</t>
  </si>
  <si>
    <t>Antonio Novo 🇪🇸</t>
  </si>
  <si>
    <t>Albert Rivera presenta una moción para impedir el Indulto a los independentistas procesados. Magistral. No tiene pérdida.</t>
  </si>
  <si>
    <t>https://twitter.com/la_patilla/status/1065615328485523456
http://j.mp/2KeFQz2</t>
  </si>
  <si>
    <t>https://youtu.be/ctENElrhmuk</t>
  </si>
  <si>
    <t>Sólo 7 estrellas! Las de siempre! La octava (al igual que los que la defienden) no me representa!</t>
  </si>
  <si>
    <t xml:space="preserve">Jerez de la Frontera. Ferrol. </t>
  </si>
  <si>
    <t>Nací en San Fernando (Cádiz). Enfermero de Urgencias. Español hasta la médula🇪🇸. Deseo para mi país que tenga lo que no tiene, una Democracia Real. METALERO.</t>
  </si>
  <si>
    <t>http://www.novomedinilla.com/?m=1</t>
  </si>
  <si>
    <t>https://pbs.twimg.com/media/DsnTWYUXcAA42CS.png</t>
  </si>
  <si>
    <t>jacobo P.B</t>
  </si>
  <si>
    <t>Y a eston cuando le metemos mano? @Pablo_Iglesias_ @TeresaRodr_ @Albert_Rivera @agarzon @sanchezcastejon</t>
  </si>
  <si>
    <t>Roberto Jiménez</t>
  </si>
  <si>
    <t>#MEGACHIRINGUITO el tertuliano moreno con chaqueta oscura tiene exactamente la misma voz que Albert Rivera de Ciudadanos</t>
  </si>
  <si>
    <t>https://perdidue.com/2018/11/20/la-realidad-de-muchos-centros-sanitarios-en-espana-que-los-pacientes-teneis-que-conocer/</t>
  </si>
  <si>
    <t>Convencido de que la democracia necesita diálogo sería bueno que @sanchezcastejon @pablocasado_ y @Albert_Rivera nos expliquen porque prefieren una diarquía (tenemos dos reyes) que además de estar en la constitución, regula con machismo la monarquía.</t>
  </si>
  <si>
    <t>https://elpais.com/elpais/2018/11/21/opinion/1542806031_921444.html</t>
  </si>
  <si>
    <t>Fernando JMM</t>
  </si>
  <si>
    <t>¡¡¡OLEADA DE ZASCAS!!! de Unidos Podemos a Albert Rivera, digno de ver...  vía @YouTube</t>
  </si>
  <si>
    <t>https://youtu.be/gEwhSBjGZYU</t>
  </si>
  <si>
    <t>Ciudadano del Mundo</t>
  </si>
  <si>
    <t>Tengo 4 hijos, Informático, preocupado por la justicia social, la desigualdad y la corrupción !!!</t>
  </si>
  <si>
    <t>Roger de Flor</t>
  </si>
  <si>
    <t>Hoy me ha bloqueado @albert_rivera</t>
  </si>
  <si>
    <t>#TitoEtern</t>
  </si>
  <si>
    <t>Quién es? Morata ❤️ Albert Rivera 🔁</t>
  </si>
  <si>
    <t>Segurament algú, probablement ningú.</t>
  </si>
  <si>
    <t>https://pbs.twimg.com/media/DspQP-DWoAAXIeT.jpg</t>
  </si>
  <si>
    <t>El Mochet</t>
  </si>
  <si>
    <t>Una vez más @InesArrimadas @Albert_Rivera y @CiudadanosCs haciendo el ridículo</t>
  </si>
  <si>
    <t>Soy culé xq a pesar de ser uno de los clubs más laureados del mundo, importa más el camino q llegar.</t>
  </si>
  <si>
    <t>http://goo.gl/Us3jnZ</t>
  </si>
  <si>
    <t>Fernandoga</t>
  </si>
  <si>
    <t>Fracaso absoluto de un acto de Albert Rivera en Sevilla  En Andalucía no necesitamos genios, si buenos gestores que miren por el bienestar y el futuro de nuestros hijos. #AdelanteAndalucia. #2DCanalSur</t>
  </si>
  <si>
    <t>https://digitalsevilla.com/2018/10/01/fracaso-absoluto-de-un-acto-de-albert-rivera-en-sevilla/#.W_c8ciqdm4Z.twitter</t>
  </si>
  <si>
    <t>Cuando dices compartir gran parte del programa de @vox_es entiendo que no quieras clasificarlo como fascista porqué también te aplicara el calificativo a tí @Albert_Rivera todo claro, chaval!</t>
  </si>
  <si>
    <t>ruthm-I</t>
  </si>
  <si>
    <t>Albert Rivera propondrá que los nacionalistas tengan un 3% de los votos para entrar en el Congreso  via @elmundoes</t>
  </si>
  <si>
    <t>Confraria De Pescadors SEDR</t>
  </si>
  <si>
    <t>Para @Albert_Rivera hemos pasado de ser golpistas a escupistas... #SantEstevedelesRoures #FemXarxa #BORRELLDIMISSIÓ</t>
  </si>
  <si>
    <t>London, U.K.</t>
  </si>
  <si>
    <t>Wife, Mother of V &amp; A -Grand mother of Lars. Lawyer, defender of liberties and democracy.</t>
  </si>
  <si>
    <t>La Confraria de Pescadors de Sant Esteve de les Roures va ser creada 1-O-2017 com una associacio corporativa de pescadors amb un clar fi social.</t>
  </si>
  <si>
    <t>Santiago Herreros</t>
  </si>
  <si>
    <t>Mentira del día. Por @Albert_Rivera ¿Qué sobrerepresentacion? ERC obtuvo 2,64% votos a nivel nacional. El 2,64% de 350 escaños es 9,2. Le asignaron 9. PERFECTO PP obtuvo 33% votos a nivel nacional. El 33% de 350 escaños es 115,5 Le asignaron 137. SOBRERREPRESENTADO +22 RT @Albert_Rivera: 🎥 Los grupos separatistas que quieren liquidar España aprovechan su sobrerrepresentación en el @Congreso_Es para decidir por todos. Hay que decir basta desde la democracia: Proponemos un corte electoral mínimo del 3% para entrar en la Cámara nacional.</t>
  </si>
  <si>
    <t>Cada vez encuentro más gente que confunde libertad de expresión con opinar lo mismo.</t>
  </si>
  <si>
    <t>http://m.youtube.com/watch?v=eIZdaM2_xgI</t>
  </si>
  <si>
    <t>bernardo sestayo</t>
  </si>
  <si>
    <t>Dónde el @Albert_Rivera vió que Felipe VI está más valorado que @Pablo_Iglesias_?. De qué año es la encuesta?. O porque un imbécil lo diga todos tenemos que admitirlo?. @Albert_Rivera eres el tonto de la taberna. #Simplemente. RT @europapress: Rivera recalca a Iglesias que el problema de España no es la Monarquía sino el populismo: "Felipe VI está bastante mejor valorado que Iglesias. El Rey no es el problema, son Rufián, Iglesias, Puigdemont..."</t>
  </si>
  <si>
    <t>https://twitter.com/europapress/status/1065604662710214657
https://bit.ly/2qYyXJn</t>
  </si>
  <si>
    <t>pic.twitter.com/Fqqj4JRDSp</t>
  </si>
  <si>
    <t>Na Galicia-Galiza.</t>
  </si>
  <si>
    <t>En mi atardecer quiero continuar a ser útil</t>
  </si>
  <si>
    <t>Cs La Roda</t>
  </si>
  <si>
    <t>.@Albert_Rivera pide formalmente al Presidente del Gobierno, @sanchezcastejon la convocatoria de elecciones después de lo acontecido esta semana. #EleccionesYa</t>
  </si>
  <si>
    <t>pic.twitter.com/5pa7VJ3xFH</t>
  </si>
  <si>
    <t>La Roda, Albacete</t>
  </si>
  <si>
    <t>Perfil Oficial. Partido político progresista, surgido de un movimiento de ciudadanos que quieren regenerar la política española. redes.laroda@gmail.com</t>
  </si>
  <si>
    <t>http://albacete.ciudadanos-cs.org</t>
  </si>
  <si>
    <t>España🇪🇸&amp;Venezuela🇻🇪</t>
  </si>
  <si>
    <t>Si el okupa de la Moncloa, tuviese dignidad y ante el fracaso de poder mover al Generalísimo Francisco Franco del Valle de los Caídos, ya debería de estar preparando su defensa ante los tribunales de su #Tesis o la renuncia. @pablocasado_ @Albert_Rivera @Ortega_Smith. #SosEspaña</t>
  </si>
  <si>
    <t>https://pbs.twimg.com/media/DsnLaVkWoAAplst.jpg</t>
  </si>
  <si>
    <t>Creó en la Democracia, Libertad de Pensamiento, Libertades Económicas y Respecto a los Derechos Humanos. #SOSESPAÑOLESENVENEZUELA ️#SosVzla #SOSNicaragua</t>
  </si>
  <si>
    <t>http://JPOMBO.ES</t>
  </si>
  <si>
    <t>Más comentados ahora en Derecha/Centro Dcha.: ➀ @sanchezcastejon ↑ ➁ @Desayunos_tve ↓ ➂ @Alvisepf ↓ ➃ @gabrielrufian ➄ @Albert_Rivera ↑↑ ➅ @PSOE ↑ ➆ @carmelojorda ↓ ➇ @5chuspis ↓ ➈ @rosadiezglez ↓ ➉ @Cs_Madrid ↑</t>
  </si>
  <si>
    <t>Alfilo de la Brecha</t>
  </si>
  <si>
    <t>Por favor, vamos a ir recogiendo firmas, a ver si Albert Rivera hace un comunicado apuntandose RT @gentehacecosas: @Albert_Rivera Apuntate socio , es por una buena causa solidaria.</t>
  </si>
  <si>
    <t>David del Moral</t>
  </si>
  <si>
    <t>El "sanchismo" es el que ha sido escupido (o no, no se ve claro), @Albert_Rivera! Y si la legislatura está bloqueada es porque @sanchezcastejon no acepta las condiciones de "los separatistas" ("¿cómodo", sin presupuestos y con este panorama?). Deja de hacer el ridículo. RT @Albert_Rivera: 🏛 Sánchez está más cómodo con los que escupen a un ministro de España que con los que defendemos a ese ministro vejado por los separatistas. Así es el sanchismo: capaz de todo por el poder.</t>
  </si>
  <si>
    <t>https://twitter.com/Albert_Rivera/status/1065600760770105344</t>
  </si>
  <si>
    <t>pic.twitter.com/oX5Iot5J2j</t>
  </si>
  <si>
    <t>https://twitter.com/gentehacecosas/status/1065727387227312131</t>
  </si>
  <si>
    <t>https://pbs.twimg.com/media/Dso5Y_7UUAAYfJZ.jpg</t>
  </si>
  <si>
    <t>Barberà del Vallès, 🇪🇸🇪🇺🌍</t>
  </si>
  <si>
    <t>Socialdemòcrata, republicà, laïcista, federalista, constitucionalista, progressista, feminista i postnacionalista || Polítiques, UAB.</t>
  </si>
  <si>
    <t>https://delmoraloblog.wordpress.com/</t>
  </si>
  <si>
    <t>La ciudad mas bonita del mundo</t>
  </si>
  <si>
    <t>Antropólogo, animador sociocultural y croupier. También soy de izquierdas, activista antifascista, humorista amateur y amo los pingüinos. Miro los MD de reojo</t>
  </si>
  <si>
    <t>https://www.youtube.com/c/alfilodelabrecha</t>
  </si>
  <si>
    <t>Más influyentes ahora en Derecha/Centro Dcha.: ➀ @Desayunos_tve ↓ ➁ @Alvisepf ↑ ➂ @Albert_Rivera ↑ ➃ @carmelojorda ↓ ➄ @5chuspis ↓ ➅ @rosadiezglez ↓ ➆ @javiernegre10 ↓ ➇ @Cs_Madrid ↑ ➈ @Santi_ABASCAL ↓</t>
  </si>
  <si>
    <t>Nadie en el @PSOE apoya la versión del escupitajo de @JosepBorrellF? Tranquilos que ya saldrán @Albert_Rivera o @pablocasado_ haciéndolo .... aunque sea mentira .... todo sea por malmeter ...</t>
  </si>
  <si>
    <t>JuanRa Bethencourt</t>
  </si>
  <si>
    <t>De la productora de "Albert Rivera, el Regenerador" presenta ahora "Albert Rivera, el No-analista". RT @ander_errasti: PSOE? Amigos de los golpistas PNV? Racistas y egoístas Bildu? Etarras PDECat y ERC? Golpistas y supremacistas Podemos? Amigos de los golpistas y bolivarianos de extrema izquierda VOX? Yo no entro a valorar estas cosas. Eso se lo dejo a ustedes. Vaya tela. Y es reproducción soft</t>
  </si>
  <si>
    <t>Gran Canaria</t>
  </si>
  <si>
    <t>Primum non nocere. Homo sum, humani nihil a me alienum puto. Etiam si omnes, ego non.</t>
  </si>
  <si>
    <t>Redacción Médica</t>
  </si>
  <si>
    <t>#EnPortada 📰 Ley de paliativos 👉 inhabilitación al médico por "obstruir o negar" cuidados. cc/ @CiudadanosCs @FranciscoIgea @Albert_Rivera</t>
  </si>
  <si>
    <t>Paradoja: Ciudadanos mantiene el poder máximo a los partidos nacionalistas y soberanistas que han condicionado el Gobierno de #España ya con Felipe González o José María Aznar. PSOE, Podemos y C`s suman mucho.</t>
  </si>
  <si>
    <t>https://www.redaccionmedica.com/secciones/parlamentarios/ley-de-paliativos-inhabilitacion-al-medico-por-obstruir-o-negar-cuidados-7305</t>
  </si>
  <si>
    <t>https://pbs.twimg.com/media/Dsm-jRUW0AArvBU.jpg</t>
  </si>
  <si>
    <t>https://pbs.twimg.com/media/DspGyR-V4AAxwv7.jpg</t>
  </si>
  <si>
    <t>Periódico online con toda la actualidad del sector sanitario. #medicina #enfermería #farmacia #sanidad #salud #pacientes</t>
  </si>
  <si>
    <t>http://www.redaccionmedica.com</t>
  </si>
  <si>
    <t>.@DiazCanelB @CasaReal @sanchezcastejon @Albert_Rivera @pablocasado_ @KremlinRussia @mfa_russia El amor por los niños rusos no es suficiente porque tenemos a la corrupción cubana encima y no somos rubias de alguna televisión americana RT @RuthIliana46: Después de los niños cubanos, los niños rusos son los que siempre hemos querido adoptar porque sufren la misma tragedia del alcoholismo y el abandono de sus padres. Amamos mucho a esos niños pero el amor no es suficiente..</t>
  </si>
  <si>
    <t>Llibertat</t>
  </si>
  <si>
    <t>Albert Rivera pidiendo una ley electoral que establezca del 3% de los votos para acceder al Congreso. Casualmente lo que él saco la primera vez que entró en el parlament ¿Cual pensáis que hubiera sido el límite que hubiera defendido si él hubiera entrado con un 2%? justo el 2%</t>
  </si>
  <si>
    <t>https://twitter.com/RuthIliana46/status/1065600897286373376
https://twitter.com/RuthIliana46/status/1065600314005495809</t>
  </si>
  <si>
    <t>https://pbs.twimg.com/media/DspCs7jU0AA6ZA6.jpg</t>
  </si>
  <si>
    <t>Pare, marit, ecologista, del barça, demòcrata, d'esquerres, catalanista. Independentista des del 20 sept. Justícia per sobre de lleis. #josocCDR</t>
  </si>
  <si>
    <t>Ander</t>
  </si>
  <si>
    <t>El ridículo que están haciendo @gabrielrufian Y @JosepBorrellF es antológico. Ninguno utiliza el famoso seny ni propone nada. Podían haber aprendido algo de otro catalán, #ErnestLluch, pero prefieren el estilo del barcelonés @Albert_Rivera Insultar y mentir como único discurso</t>
  </si>
  <si>
    <t>House of CAT🎗</t>
  </si>
  <si>
    <t>La Organización contra la Tortura, Igual q ya hizo Amnistía Internacional, exige la puesta en libertad d los Jordis, mientras el enfermo de Albert Rivera fleta autobuses para exigir q no se les indulte</t>
  </si>
  <si>
    <t>https://www.elnacional.cat/ca/politica/organitzacio-mundial-contra-tortura-cuixart-sanchez_327576_102.html</t>
  </si>
  <si>
    <t>Padre. Profesor de Derecho internacional (UPV/EHU) en un Estado Social de Derecho sin derechos y poco Estado</t>
  </si>
  <si>
    <t>“Castilla miserable, ayer dominadora, envuelta en sus andrajos, desprecia cuanto ignora” (en plena vigencia)</t>
  </si>
  <si>
    <t>ElNacional .cat</t>
  </si>
  <si>
    <t>Rivera no ha querido afirmar categóricamente si el diputado de ERC Jordi Salvador escupió o no a Borrell</t>
  </si>
  <si>
    <t>juan miguel</t>
  </si>
  <si>
    <t>Será que @Albert_Rivera sólo sabe mentir? Todavía no ha visto en las imágenes que Borrell se "inventó" o "imaginó" el escupitajo? RT @Albert_Rivera: 🏛 Sánchez está más cómodo con los que escupen a un ministro de España que con los que defendemos a ese ministro vejado por los separatistas. Así es el sanchismo: capaz de todo por el poder.</t>
  </si>
  <si>
    <t>http://bit.ly/2FO4ND5</t>
  </si>
  <si>
    <t>Sacerdote Español en Santiago de Cali</t>
  </si>
  <si>
    <t>Última hora política y económica de Catalunya, España e internacional. Creado por José Antich. FB http://facebook.com/elnacionalcates/ En catalán @elnacionalcat</t>
  </si>
  <si>
    <t>http://www.elnacional.cat/es/</t>
  </si>
  <si>
    <t>Marcos</t>
  </si>
  <si>
    <t>No sé @Albert_Rivera, si hace falta un 3% los nacionalistas lo sacan.. de donde sea. Saben cómo hacerlo.</t>
  </si>
  <si>
    <t>Ex pilot, Kite&amp;Surfer &amp; nature freak. Libertarian and fiercely European. Half German, half Spaniard, a mix of posh hedonist and Neanderthaler 🇩🇪🇪🇸</t>
  </si>
  <si>
    <t>Cómo para @CiudadanosCs y @Albert_Rivera en Catalunya hay disidencia (eso no es golpismo como dicen PP y Vox) ahora toca que aprendan a escuchar a la Generalitat, Parlament y catalanes. RT @CiudadanosCs: 🏛 @Albert_Rivera "¿Cómo se puede defender los derechos humanos si ni siquiera escuchas a los disidentes? Hay miles de personas que no pueden vivir en Cuba porque su país es una cárcel; lamento la falta de valentía y ridículo del Gobierno de España" en @CsCongreso</t>
  </si>
  <si>
    <t>https://twitter.com/CiudadanosCs/status/1065597757673652229</t>
  </si>
  <si>
    <t>pic.twitter.com/yLc7NSz8qW</t>
  </si>
  <si>
    <t>El Gollum</t>
  </si>
  <si>
    <t>Tú has visto el escupitajo, Albert Rivera sólo ve españoles y VOX es de centro derecha. Pásalo.</t>
  </si>
  <si>
    <t>Sant Esteve de les Roures CAT</t>
  </si>
  <si>
    <t>Al meu twitter escric el que em rota. Si t'ho prens en sèrio ja és cosa teva, a mi no em miris!</t>
  </si>
  <si>
    <t>V</t>
  </si>
  <si>
    <t>Albert Rivera, en el 2017: "Montar un autobús no es hacer oposición, es un show"  besitos @Albert_Rivera #malditahemeroteca #populismo a lo venezolano</t>
  </si>
  <si>
    <t>https://www.elperiodico.com/es/politica/20181122/albert-rivera-2017-montar-autobus-no-es-hacer-oposicion-7161584?utm_source=twitter&amp;utm_medium=social</t>
  </si>
  <si>
    <t>manu fa</t>
  </si>
  <si>
    <t>Pepa Bueno deja en evidencia a un Rivera vacilante por negarse a definir a VOX</t>
  </si>
  <si>
    <t>Moderdonia</t>
  </si>
  <si>
    <t>Cabezón. Sense pàtria. Ideologia 99% Camino per l'esquerra. Alli me vereis. Sempre que hi hagi aigua em mullo. Harto de estar Harto de CatenComu, per ara</t>
  </si>
  <si>
    <t>https://www.elnacional.cat/enblau/es/television/albert-rivera-vox-pepa-bueno-cadena-ser_326946_102.html</t>
  </si>
  <si>
    <t>Jèssica P. Salgueiro</t>
  </si>
  <si>
    <t>Entre @Albert_Rivera e @InesArrimadas Que se aprovechan de las falsedades que pasan en La Península vamos listos. Inesita se aprovecha de Catalunya para ganar las elecciones de Andalucía y Albertito se aprovecha del falso escupitajo xa continuar pidiendo elecciones. Tanto monta..</t>
  </si>
  <si>
    <t>argentina</t>
  </si>
  <si>
    <t>http://oficios2011.blogspot.com.ar</t>
  </si>
  <si>
    <t>Sóc una part de tot el que he trobat en el meu camí. Culé, #Republicana L'ho que mes estimo? Les meves gosses. #music #technology #Catalonia #política #series</t>
  </si>
  <si>
    <t>RojoyNegro</t>
  </si>
  <si>
    <t>¿Qué dirán de esto los aprendices de neoliberales Pablo Casado y Albert Rivera, sobretodo del impuesto de sucesiones?: La OCDE pide al Gobierno español que obligue a tributar a las plataformas digitales, suba el impuesto de sucesiones y el de patrimonio.</t>
  </si>
  <si>
    <t>https://www.infolibre.es/noticias/economia/2018/11/23/la_ocde_tambien_admite_necesidad_reformar_los_impuestos_espana_para_recaudar_mas_redistribuir_riqueza_89135_1011.html</t>
  </si>
  <si>
    <t>Juanjo Bandera</t>
  </si>
  <si>
    <t>FAKE NEWS SPAIN en el ultimo mes: -Guiño de @gabrielrufian a diputada del PP. - Piedras a @Albert_Rivera en Alsasua. - Escupitajo de Jordi Salvador a Borrell. Seguiremos informando contra la desinformacion… #FakeNewsSpain</t>
  </si>
  <si>
    <t>No nos importan las ruinas porque estamos llamados a heredar la tierra. Buenaventura Durruti.</t>
  </si>
  <si>
    <t>El Universo</t>
  </si>
  <si>
    <t>'Cuando siento una necesidad de religión, salgo de noche a pintar las estrellas.''</t>
  </si>
  <si>
    <t>.@DiazCanelB @CasaReal @pablocasado_ @Albert_Rivera @sanchezcastejon Nosotros pensábamos que el Señor @BarackObama iba abrir las adopciones internacionales de niños cubanos no para todo el mundo evidentemente .. RT @RuthIliana46: En una situación crítica , cualquiera lo podía interpretar como una provocación y allí como le escribimos al @KremlinRussia @Pravitelstvo_RF @dumagovru hay muchos niños que necesitan alimentos, no conflictos, y a nosotros nos han seguido torturando...</t>
  </si>
  <si>
    <t>https://twitter.com/RuthIliana46/status/1065597912284110848
https://twitter.com/RuthIliana46/status/1065597247960821761</t>
  </si>
  <si>
    <t>Jesús CDR II*II</t>
  </si>
  <si>
    <t>Disputa por los votantes de derecha , Albert Rivera y Pablo casado</t>
  </si>
  <si>
    <t>Abel Prieto</t>
  </si>
  <si>
    <t>pic.twitter.com/1hrNJonzsH</t>
  </si>
  <si>
    <t>La duda entre enseñar a mi hijo a estudiar duro, y ser un futuro parado, o que sea un macarra, escupiendo e insultando a la gente, y poder llegar a ser diputado en el congreso español @sanchezcastejon @pablocasado23 @Albert_Rivera @Pablo_Iglesias_ @gabrielrufian</t>
  </si>
  <si>
    <t>nescut al poble sec no ting odi als espanyol , ting odi als seus polítics feixistes , els catalans no tenim rei</t>
  </si>
  <si>
    <t>Cáceres, Extremadura, España.</t>
  </si>
  <si>
    <t>Tropezador profesional de la misma piedra y simpatizante de la vida</t>
  </si>
  <si>
    <t>Sergio</t>
  </si>
  <si>
    <t>Los lazos amarillos expresan un parecer, aunque a @Albert_Rivera no lo entienda, e invaden el espacio como otros lo hacen con propaganda comercial o electoral. RT @Albert_Rivera: El PSC-PSOE vota en el Parlament con los separatistas para admitir la invasión de lazos amarillos, tumbando así la ley de neutralidad en los espacios públicos de Ciudadanos. No tienen remedio.</t>
  </si>
  <si>
    <t>Ni Teodoro Garcia Egea(PP)  ni Albert Rivera (Cs)  han querido etiquetar a Vox de #extremaderecha pero sus compañeros y ellos en alguna ocasión si etiquetaron rápidamente a otros de #extremaizquierda</t>
  </si>
  <si>
    <t>https://www.msn.com/es-es/noticias/espana/teodoro-garcía-egea-evita-etiquetar-a-vox-como-extrema-derecha-de-izquierdas-no-son/ar-BBO7Pt6
https://www.google.com/amp/s/m.eldiario.es/politica/Rivera-catalogar-Vox-extremadrecha-analista_0_838166254.amp.html
https://m.eldiario.es/rastreador/Albert-Rivera-extrema-populistas-bolivarianos_6_838226200.html</t>
  </si>
  <si>
    <t>https://twitter.com/Albert_Rivera/status/1065519877392338944
https://www.esdiario.com/46982221/El-PSC-vota-con-los-independentistas-para-admitir-la-invasion-de-lazos-amarillos.html</t>
  </si>
  <si>
    <t>Student 4st Bachelor Degree in Law @Univcordoba .Tweets on extremist youth cultures, hate groups and terrorism. Hate Crime in Spain farrightspain@protonmail.com</t>
  </si>
  <si>
    <t>El Racó de pensar de Sant Esteve de les Roures</t>
  </si>
  <si>
    <t>Albert Rivera acusa a Pedro Sánchez de poner el estado al servicio de los golpistas. Joder, como si no supiera que España lleva 80 años a su servico.</t>
  </si>
  <si>
    <t>🏛 @Albert_Rivera "¿Cómo se puede defender los derechos humanos si ni siquiera escuchas a los disidentes? Hay miles de personas que no pueden vivir en Cuba porque su país es una cárcel; lamento la falta de valentía y ridículo del Gobierno de España" en @CsCongreso</t>
  </si>
  <si>
    <t>https://pbs.twimg.com/media/Dso6QtyUwAAOSPR.jpg</t>
  </si>
  <si>
    <t>flewtyyyy</t>
  </si>
  <si>
    <t>Situación sentimental: más esperanzas que Albert Rivera esperando a q vote su partido</t>
  </si>
  <si>
    <t>.@DiazCanelB @KremlinRussia @mfa_russia @sanchezcastejon @pablocasado_ @Albert_Rivera @CasaReal Hemos elogiado la inversión Rusa nuevamente en #Cuba pero no su presupuesto militar porque aunque pensemos diferentes ese presupuesto iba a poner a #Cuba ... RT @RuthIliana46: Han seguido torturandonos con descargas electricas cuando estuvimos en contra de sanciones a Rusia que pudieran perjudicar a la alimentación de los niños rusos @KremlinRussia @mfa_russia dándonos en el pecho izquierdo..</t>
  </si>
  <si>
    <t>https://pbs.twimg.com/media/Dso5-7BVsAAZz1I.jpg</t>
  </si>
  <si>
    <t>https://twitter.com/RuthIliana46/status/1065595097058824193
https://twitter.com/RuthIliana46/status/1065594403820048384</t>
  </si>
  <si>
    <t>Puerto de Santa María, Cádiz</t>
  </si>
  <si>
    <t>Salud, Cadismo y Libertad.</t>
  </si>
  <si>
    <t>David Heredia</t>
  </si>
  <si>
    <t>Albert Rivera le ha enseñado a pescar... RT @CiudadanosCs: 📽 Así ha respondido @JuanMarin_Cs al racista y supremacista Quim Torra. #TodosConJuan</t>
  </si>
  <si>
    <t>.@DiazCanelB @sanchezcastejon @pablocasado_ @Albert_Rivera @CasaReal @SenStabenow @BarackObama planes de comedores infantiles con el Señor @Michaelsmithinc y la Señora @MarthaStewart, pero siguieron torturandonos.. RT @RuthIliana46: Una clase de cubanos que provocó una denervacion del tibial anterior irreversible en la pierna izquierda cuando estábamos apoyando el plan agrícola para #Cuba @BarackObama @SenStabenow porque todo está por escrito. Los planes de comedores infantiles ..</t>
  </si>
  <si>
    <t>https://twitter.com/CiudadanosCs/status/1065309140078264327</t>
  </si>
  <si>
    <t>https://twitter.com/RuthIliana46/status/1065592923012677633
https://twitter.com/RuthIliana46/status/1065591807428489216</t>
  </si>
  <si>
    <t>Fort Pienc, Barcelona</t>
  </si>
  <si>
    <t>Editor. Vaig a peu arreu. Del 68. Dels 80. Fons: "En España, sin violencia, se puede hablar de todo".</t>
  </si>
  <si>
    <t>stupidnewsmart</t>
  </si>
  <si>
    <t>Ni Cristo comenta nada sobre este tema!? @ahorapodemos @PPopular @PSOE @CiudadanosCs @Renfe @mincoturgob @elconfidencial @elmundoes @20m @larazon_es @elpais_espana @Pablo_Iglesias_ @pnique @pablocasado_ @sanchezcastejon @Albert_Rivera @InesArrimadas @TeresaRodr_ 👇👇👇👇👇👇👇👇 RT @stupidnewsmart1: Mientras la economía del país aun no consigue repuntar, Talgo compra de los 2000 millones que le dio Renfe de dinero público, productos más baratos en China, Rumania, etc. Vivan los trenes Talgo made in China! @ahorapodemos @PPopular @PSOE @CiudadanosCs @Renfe @mincoturgob</t>
  </si>
  <si>
    <t>https://twitter.com/stupidnewsmart1/status/1064407911768776704</t>
  </si>
  <si>
    <t>spain</t>
  </si>
  <si>
    <t>Cuando la imbecilidad se vuelve el nuevo estándar, se necesita sentido común e inteligencia. Tratamos temas de manera clara y directa, si no te gusta. bye bye!</t>
  </si>
  <si>
    <t>m.castell</t>
  </si>
  <si>
    <t>David Lorenzo</t>
  </si>
  <si>
    <t>Inés como presidenta de Andalucía. @Albert_Rivera @CiudadanosCs pensadlo. 😊👌🏻 RT @liberal_mirada: La ostia de Inés Arrimadas a Joaquín Torra se ha oído hasta en el sur de Pernambuco.</t>
  </si>
  <si>
    <t>Especialista en Medicina Interna.</t>
  </si>
  <si>
    <t>https://twitter.com/liberal_mirada/status/1065256366099566593</t>
  </si>
  <si>
    <t>pic.twitter.com/bBP9NtePyQ</t>
  </si>
  <si>
    <t>Capitán Pescaitofrito 🎗 🔻</t>
  </si>
  <si>
    <t>El Puerto de Santa María, Espa</t>
  </si>
  <si>
    <t>Cuánta más obcecación veo contra Rufián, más ganas me da de que llegue el siguiente día y llame fascistas a Albert Rivera y a Pablo Casado en su puta cara. A ver si los francolievers explotan ya de rabia "democrática" cuando les pagan con su misma medicina. RT @gabrielrufian: Todo en orden.</t>
  </si>
  <si>
    <t>Y Cádiz tacita de plata... 💪🏻Vencí la obesidad y ahora soy Fit&amp;Healthy. ⚽️Entreno porteros Rvo. Portuense. 📲iPhone8plus Siempre Real Madrid</t>
  </si>
  <si>
    <t>https://twitter.com/gabrielrufian/status/1065668592472080385</t>
  </si>
  <si>
    <t>https://pbs.twimg.com/media/DsoD7u0VAAABbzY.jpg</t>
  </si>
  <si>
    <t>TuAbandonoMadridSur.</t>
  </si>
  <si>
    <t>#TuAbandoMePuedeMatar està arrasando en España, eso ya lo saben en todas las #sosprisiones . Pero tb hacemos labor y extendemos el movimiento. Por la dignidad del colectivo!! Llegamos a Nepal. @interiorgob @tu_matar @antoniosanz @sanchezcastejon @Albert_Rivera @Pantomima_Full</t>
  </si>
  <si>
    <t>Málaga</t>
  </si>
  <si>
    <t>En mis tiempos, cuando algún cretino escribía demasiadas tonterías en Twitter, le pasábamos las manos por la quilla.</t>
  </si>
  <si>
    <t>http://www.banquilleros.com</t>
  </si>
  <si>
    <t>https://pbs.twimg.com/media/Dsm-eEeXoAA9nhM.jpg</t>
  </si>
  <si>
    <t>inconsciente , radical, y revulsivo. nada es más poderoso q un hombre con valores firmes. youtube: bluecommander. TuAbandonoMePuedeMatar</t>
  </si>
  <si>
    <t>Albert Rivera propondrá que los nacionalistas tengan un 3% de los votos para entrar en el Congreso</t>
  </si>
  <si>
    <t>https://www.google.es/amp/s/amp.elmundo.es/espana/2018/11/22/5bf6a067e5fdea356f8b4633.html</t>
  </si>
  <si>
    <t>.@DiazCanelB @sanchezcastejon @pablocasado_ @Albert_Rivera @CasaReal ..contando ( correccion) que son comunista a cubanos en pleno poder de un apoyo corrupto para continuar, un trato cruel inhumano y degradante donde quiera que vayas.. RT @RuthIliana46: Gente que se droga, gente que toma el alcohol para ser más letales, gente que no tiene argumentos ni principios y tortura en otros países contándose somos comunistas cubanos, del Gobierno de Cuba ..</t>
  </si>
  <si>
    <t>https://twitter.com/RuthIliana46/status/1065590511313002496
https://twitter.com/RuthIliana46/status/1065589593360293895</t>
  </si>
  <si>
    <t>TheCormental</t>
  </si>
  <si>
    <t>Me ha gustado un vídeo de @YouTube ( - A un PSC entregado al nacionalismo hay que sustituirlo - Albert Rivera</t>
  </si>
  <si>
    <t>http://youtu.be/lYfwLSXLeJQ?a</t>
  </si>
  <si>
    <t>🏛 @Albert_Rivera "El PSOE ha votado en contra de que se respeten las sentencias judiciales porque están negociando indultos por escaños. Es el mundo al revés; Sánchez pone el Estado al servicio de los que quieren romperlo" en @CsCongreso</t>
  </si>
  <si>
    <t>pic.twitter.com/MhUqYZQfiy</t>
  </si>
  <si>
    <t>Tabarnia, España</t>
  </si>
  <si>
    <t>Cada vez mas cerca de mis objetivos ! M.J. DO IT WITH L.O.V.E.</t>
  </si>
  <si>
    <t>https://www.instagram.com/crisnpatience/</t>
  </si>
  <si>
    <t>🇪🇸 Dr.Trankas#Licheone 🇪🇸</t>
  </si>
  <si>
    <t>A ver politicuchos: Que conmigo no os va a hacer falta esa caca de ley. Soy facha, mogollón de facha y voy a votar a VOX.😉 ¿Queda claro? Pues ala! A meneársela al baño un rato.😏 @pablocasado_ @sanchezcastejon @Pablo_Iglesias_ @Albert_Rivera #VikingosTeam #Lasilenciosacat</t>
  </si>
  <si>
    <t>Gemma Robles</t>
  </si>
  <si>
    <t>A la derecha de la derecha.</t>
  </si>
  <si>
    <t>Albert Rivera, en el 2017: "Montar un autobús no es hacer oposición, es un show" @MiriamRuiz_</t>
  </si>
  <si>
    <t>Máster en todo y doctorado en más. Ya estoy preparado para trabajar en una línea de producción... O presidir un país. 😉</t>
  </si>
  <si>
    <t>Periodista. Delegada en Madrid de EL PERIÓDICO. Analista de actualidad política en La Sexta, TVE y RNE</t>
  </si>
  <si>
    <t>http://www.elperiodico.com/es/autor/gemma-robles/</t>
  </si>
  <si>
    <t>Más influyentes ahora en Derecha/Centro Dcha.: ➀ @Desayunos_tve ↓ ➁ @Alvisepf ↓ ➂ @carmelojorda ↓ ➃ @5chuspis ↓ ➄ @rosadiezglez ↓ ➅ @Santi_ABASCAL ↓ ➆ @Nanchinho ↑ ➇ @javiernegre10 ↑ ➈ @monasterioR ↑ ➉ @Albert_Rivera ↓</t>
  </si>
  <si>
    <t>Vicente Ten</t>
  </si>
  <si>
    <t>🏛@Albert_Rivera sobre Rufián y Borrell: "A Sánchez se le ha ido el Gobierno Frankenstein de las manos" ... “Yo lo que siento es que estos señores, de manera figurada o de manera física, escupen cada día sobre nuestra Constitución”</t>
  </si>
  <si>
    <t>https://www.libertaddigital.com/espana/2018-11-22/rivera-sobre-rufian-y-borrell-a-sanchez-se-le-ha-ido-el-gobierno-frankenstein-de-las-manos-1276628665/</t>
  </si>
  <si>
    <t>Colombia sin Comunismo</t>
  </si>
  <si>
    <t>Albert Rivera: “A Sánchez se le ha ido de las manos el monstruo de Frankenstein que construyó...</t>
  </si>
  <si>
    <t>Papá, también Economista, Técnico de Hda.del E°, Diputado XI y XII Legislatura de @CsCongreso por Valencia. Los Grandes Sueños son para los Grandes Equipos!</t>
  </si>
  <si>
    <t>https://www.facebook.com/vicente.ten/</t>
  </si>
  <si>
    <t>http://dlvr.it/Qrtd93</t>
  </si>
  <si>
    <t>https://pbs.twimg.com/media/Dso1_TGU8AASQ0N.jpg</t>
  </si>
  <si>
    <t>Alejandome del Comunismo</t>
  </si>
  <si>
    <t>🏛 @Albert_Rivera "Hemos pedido la comparecencia de Calviño por la posible evasión fiscal. Este gobierno tiene tantas manchas como el de Rajoy; lo mejor que pueden hacer es convocar elecciones y dar voz a los españoles" en @CsCongreso</t>
  </si>
  <si>
    <t>Noticias de Colombia y España. Centro Democratico y Uribista. Libertario que rechaza tiranias, abusadores de poder y Nuevo Orden Mundial.</t>
  </si>
  <si>
    <t>https://www.youtube.com/watch?v=IZfcG0rPxrs</t>
  </si>
  <si>
    <t>pic.twitter.com/OvI220uLRW</t>
  </si>
  <si>
    <t>🏛 @Albert_Rivera "Los españoles debemos defendernos democráticamente; por eso proponemos un cambio en la ley electoral que establezca como barrera conseguir un 3% de los votos a nivel nacional para acceder al Congreso" en @CsCongreso</t>
  </si>
  <si>
    <t>pic.twitter.com/dbw9Dl4k6e</t>
  </si>
  <si>
    <t>Varanya77</t>
  </si>
  <si>
    <t>Cuando Albert Rivera sí pone etiquetas: extrema izquierda, populistas, bolivarianos, chavistas y golpistas  vía @eldiarioes</t>
  </si>
  <si>
    <t>https://www.eldiario.es/_31f65118</t>
  </si>
  <si>
    <t>Caroline_Madrid</t>
  </si>
  <si>
    <t>Es Tremendo. Especialmente me pregunto como @Albert_Rivera lo explicará a @EmmanuelMacron en ALDE. RT @EstefaniaJoaq: Pero ¿cómo es posible? El Senado condena el franquismo con la abstención de PP y Ciudadanos  vía @elpais_espana</t>
  </si>
  <si>
    <t>https://twitter.com/estefaniajoaq/status/1065402917778280449
https://elpais.com/politica/2018/11/21/actualidad/1542812383_600299.html?id_externo_rsoc=TW_CC</t>
  </si>
  <si>
    <t>Guille Quero</t>
  </si>
  <si>
    <t>Albert Rivera evita por todos los medios calificar a Vox de extrema derecha</t>
  </si>
  <si>
    <t>https://www.lapandereta.es/albert-rivera-evita-por-todos-los-medios-calificar-a-vox-de-extrema-derecha/?fbclid=IwAR0fkhbHZS6WI2wymk5ijI73dSeQBWrbxgruMQ_xlmn65JIRrZyfjGZ_G0A</t>
  </si>
  <si>
    <t>🏛 @Albert_Rivera "Frente al acoso de los jueces y el señalamiento los constitucionalistas debemos estar unidos. Los españoles no se merecen que los que quieran liquidar nuestro país tengan las riendas de este país. ¡Convoquen elecciones ya!" en @CsCongreso</t>
  </si>
  <si>
    <t>Granada-Andalucía-España</t>
  </si>
  <si>
    <t>Callarse es un juicio de valor. Socialdemócrata. Actualmente Delegado de Cultura, Turismo y Deporte de @juntagranada</t>
  </si>
  <si>
    <t>pic.twitter.com/ybopVvCY3L</t>
  </si>
  <si>
    <t>Dani Lovsky</t>
  </si>
  <si>
    <t>Mi animal mitológico favorito es la cara de @Albert_Rivera haciéndose el sorprendido cuando @JoanTarda lo llama fascista.</t>
  </si>
  <si>
    <t>Todo lo comento. Documentalista en “El programa de Ana Rosa”. Antes en “Sálvame” y “Viva la vida” de @telecincoes</t>
  </si>
  <si>
    <t>http://www.instagram.com/dani_lovsky</t>
  </si>
  <si>
    <t>.@DiazCanelB @sanchezcastejon @Albert_Rivera @CasaReal @pablocasado_ el mismo alcohol que le daban a mi padre para que fuera letal con su familia. Esos que son corruptos, que viven bien en todas partes, esos sin fondo RT @RuthIliana46: Una viuda que no le pagan el derecho de autor de #Cuba ni pensión de viudez y que siendo una persona de diálogo Amando a su país ha sufrido en carne propia los depravados que existen para acosar y fulminar a las familias con el mismo alcohol ..</t>
  </si>
  <si>
    <t>https://twitter.com/RuthIliana46/status/1065584867675697153
https://twitter.com/RuthIliana46/status/1065583854407348224</t>
  </si>
  <si>
    <t>6_PM1</t>
  </si>
  <si>
    <t>Si/pero eso no le interesa al Sr. Casado/ni Albert Rivera/ RT @hugomabarca: Rajoy vulneró la Constitución al gobernar diez meses sin control parlamentario. #LosConstitucionalistas</t>
  </si>
  <si>
    <t>https://twitter.com/hugomabarca/status/1065716389607030784
https://elpais.com/politica/2018/11/22/actualidad/1542895067_131665.html</t>
  </si>
  <si>
    <t>🏛 @Albert_Rivera "A Sánchez se le ha ido de las manos el monstruo de Frankenstein que construyó. Le pedimos al sanchismo que rectifique; no puede ser que estén más cómodos con los que escupen que con los que aplaudimos a su Ministro" en @CsCongreso</t>
  </si>
  <si>
    <t>pic.twitter.com/zd8lEUL1Iq</t>
  </si>
  <si>
    <t>Panik</t>
  </si>
  <si>
    <t>Albert Rivera y Pablo Casado intentando incendiar la campaña electoral en Andalucía.</t>
  </si>
  <si>
    <t>pic.twitter.com/U9zIcEcTs2</t>
  </si>
  <si>
    <t>cansado de medios de información manipulados y derechas camufladas.</t>
  </si>
  <si>
    <t>#España @Albert_Rivera: 'A Sánchez se le ha ido de las manos el monstruo de Frankenstein que construyó con Rufián, Iglesias, Torra y Bildu' @marianorajoy @NadiaCalvino @CiudadanosCs</t>
  </si>
  <si>
    <t>http://www.lacerca.com/noticias/espana/rivera-sanchez-le-manos-frankenstein-iglesias-torra-bildu-446149-1.html</t>
  </si>
  <si>
    <t>.@DiazCanelB @sanchezcastejon @CasaReal @pablocasado_ @Albert_Rivera ...Rectifico que es su viuda, una viuda que tuvo que huir conmigo, de una sentencia de muerte por defender el legado de su padre mi querido abuelo. Una viuda que ni le pasaron la pensión. RT @RuthIliana46: Le daban alcohol para que hiciera daño a su familia, a su esposa que rs su viuda y a sus hijas. Un padre que era un hombre huérfano y sólo encontró una vía en ser militar. Lo dejaron sólo y no tiene ni un lugar para reposar ..</t>
  </si>
  <si>
    <t>https://twitter.com/RuthIliana46/status/1065582231584980993
https://twitter.com/RuthIliana46/status/1065581657900675072</t>
  </si>
  <si>
    <t>Filósofadepacotilla</t>
  </si>
  <si>
    <t>Cuando me preguntan si miento... - La niña de la curva. - El hombre de las nieves. - El monstruo del lago Ness. - Las piedras a Albert Rivera en Alsasua - El escupitajo a…</t>
  </si>
  <si>
    <t>https://www.instagram.com/p/Bqf3TkqlonR/?utm_source=ig_twitter_share&amp;igshid=ln21sh1lhijp</t>
  </si>
  <si>
    <t>salva</t>
  </si>
  <si>
    <t>🤔 Filosofa que algo queda 🤔</t>
  </si>
  <si>
    <t>https://www.instagram.com/silviafilosofadepacotilla/</t>
  </si>
  <si>
    <t>El que se abstuvo con la votación de condena al franquismo también quiere quitar la representación de las minorías!!!! El demócrata @Albert_Rivera RT @Albert_Rivera: 🎥 Los grupos separatistas que quieren liquidar España aprovechan su sobrerrepresentación en el @Congreso_Es para decidir por todos. Hay que decir basta desde la democracia: Proponemos un corte electoral mínimo del 3% para entrar en la Cámara nacional.</t>
  </si>
  <si>
    <t>Almería</t>
  </si>
  <si>
    <t>Crítico con lo inexcusable y comprometido con la justicia social. Perroflauta, sin rastas por no tener un pelo.</t>
  </si>
  <si>
    <t>Europa Press TV</t>
  </si>
  <si>
    <t>. @Albert_Rivera considera un error que Ana Pastor equipare fascismo y golpismo</t>
  </si>
  <si>
    <t>pic.twitter.com/NUSITy9QCB</t>
  </si>
  <si>
    <t>🔻InFuCkErO🔻</t>
  </si>
  <si>
    <t>Albert Rivera evita calificar a Albert Rivera de Albert Rivera por si Albert Rivera perdiera el apoyo de Albert Rivera RT @La_SER: Albert Rivera evita calificar a Vox como un partido de ultraderecha La entrevista completa del líder de @CiudadanosCs en @HoyPorHoy con @PepaBueno →</t>
  </si>
  <si>
    <t>Twitter oficial de Europa Press Televisión, la sección de informativos de la agencia de noticias privada líder en España | YouTube: https://goo.gl/EzlxyC</t>
  </si>
  <si>
    <t>http://www.europapress.tv</t>
  </si>
  <si>
    <t>Fuckdrid</t>
  </si>
  <si>
    <t>Ni de izgonzas ni derrochas, decentre. Políticamente inconexo. Abrigo de mis abrigos. Patriciota, libelural y del Rial Mayrit. 🇪🇸. #STOPIcslan #STOPGerminazis</t>
  </si>
  <si>
    <t>Magally Vivas</t>
  </si>
  <si>
    <t>Sánchez NO habla de dictadura de Vzla Nicaragua cuba,no se va reunir con la disidencia.Deben todos unidos plantarse en contra de ésta visita muy delicado Alerta @Albert_Rivera @PPopular @pablocasado_ @marianorajoy así comenzó el adoctrinamiento de castro's con políticos de Vzla RT @beatrizbecerrab: Hace apenas dos semanas el @Europarl_ES manifestó su decepción por la falta de avances sobre #DerechosHumanos en #Cuba. No sé muy bien para qué va Sánchez, pero para democratizar la isla no parece</t>
  </si>
  <si>
    <t>https://twitter.com/beatrizbecerrab/status/1065562787299000320
http://cadenaser.com/ser/2018/11/21/politica/1542828802_858604.html</t>
  </si>
  <si>
    <t>💫</t>
  </si>
  <si>
    <t>¿Qué hace Albert Rivera de after? RT @Toxicomania_: el after no termina mientras uno siga vivo</t>
  </si>
  <si>
    <t>Padre,Hijo,Espíritu Santo derrama bendiciones sobre venezolanos de Libertad.Virgen de Coromoto Venezuela es de tu propiedad.Amén!</t>
  </si>
  <si>
    <t>https://twitter.com/Toxicomania_/status/1065003614639439874</t>
  </si>
  <si>
    <t>pic.twitter.com/iNcg0YoZkj</t>
  </si>
  <si>
    <t>Graná</t>
  </si>
  <si>
    <t>Me han bloqueado la otra cuenta. @karmalunar</t>
  </si>
  <si>
    <t>https://curiouscat.me/karndado</t>
  </si>
  <si>
    <t>Mario Pillado Mon</t>
  </si>
  <si>
    <t>Non son nin un nin dous...supoño que para @Albert_Rivera e @pablocasado_ serán 120 golpistas e para @JosepBorrellF hainos que desinfectar... RT @iescolar: Más de 120 catedráticos y profesores de Derecho rechazan las acusaciones de rebelión y sedición en el caso 'procés'. Han firmado un manifiesto que alerta de la "banalización" de ambos delitos</t>
  </si>
  <si>
    <t>https://twitter.com/iescolar/status/1065527354246787072
https://www.eldiario.es/catalunya/politica/Catedraticos-profesores-banalizacion-rebelion-sedicion_0_838166505.html</t>
  </si>
  <si>
    <t>German</t>
  </si>
  <si>
    <t>Pablo Casado, Albert Rivera (hoy volvió a llamar a @sanchezcastejon golpista) , ERC , PdCat... (Vox lo dejo fuera ya que es un sinsentido) Rebajad vuestros comentarios porque pasa lo que pasa, después pasa lo de San Juan de Aznalfarache ..... #YaEstaBien de tanta bilis x vosotros</t>
  </si>
  <si>
    <t>Burela</t>
  </si>
  <si>
    <t>Alindando crianças</t>
  </si>
  <si>
    <t>Servimedia</t>
  </si>
  <si>
    <t>Critica al Presupuesto presentado por el Gobierno. @Albert_Rivera creo que Bruselas ha pillado "con el carrito del helado" a Sánchez y su Plan Presupuestario</t>
  </si>
  <si>
    <t>Solo se vive una vez. Militante socialista y de Jerez Instagram Ggc</t>
  </si>
  <si>
    <t>https://www.servimedia.es/noticias/1094132</t>
  </si>
  <si>
    <t>Pitágora de Samos</t>
  </si>
  <si>
    <t>Albert Rivera, en su papel de mediador, se cree con derecho de ser Presidente del Gobierno 🔗 Pronunciamiento, 🔔 LaNaciónEsVenezuela,</t>
  </si>
  <si>
    <t>Agencia de noticias Líder en Información Social. Desde 1989 narramos la actualidad social, política y económica de España. Somos grupo social ONCE</t>
  </si>
  <si>
    <t>http://www.servimedia.es</t>
  </si>
  <si>
    <t>https://goo.gl/UhJ5p3?nuq88=7112989453</t>
  </si>
  <si>
    <t>World</t>
  </si>
  <si>
    <t>Pitágoras de Samos fue matemático, filósofo. El teorema de Pitágoras, llamado así por Euclides, ya era conocido con mucha anterioridad a Pitágoras.</t>
  </si>
  <si>
    <t>.@DiazCanelB @sanchezcastejon @Albert_Rivera @pablocasado_ Donde está la baja de la Unión de Jóvenes Comunistas por antecedentes penslea o depravación? No la tienen, es más nunca la han querido me han buscado hasta el mismo momento de irme de #Cuba en 1993.. RT @RuthIliana46: En nombre de ninguna ideología se puede ejercer el maltrato reiterado y continuado a la mujer. Yo he sido de la Unión de Jóvenes Comunistas y mi generación no tenía esos principios, he sido y quisiera que me dijeran...</t>
  </si>
  <si>
    <t>https://twitter.com/RuthIliana46/status/1065577401189568512
https://twitter.com/RuthIliana46/status/1064910286040256512</t>
  </si>
  <si>
    <t>El Periódico</t>
  </si>
  <si>
    <t>.@Albert_Rivera, en el 2017: "Montar un autobús no es hacer oposición, es un show"</t>
  </si>
  <si>
    <t>http://elperiodi.co/i6o7d1</t>
  </si>
  <si>
    <t>Lauren</t>
  </si>
  <si>
    <t>👌👍Albert Rivera propondrá que los nacionalistas tengan un 3% de los votos para entrar en el Congreso  vía @elmundoes</t>
  </si>
  <si>
    <t>Información, participación y conversación con El Periódico. 🗣️Si te interesa la política, síguenos en Telegram https://telegram.me/elperiodico</t>
  </si>
  <si>
    <t>http://www.elperiodico.com</t>
  </si>
  <si>
    <t>Cegata y sorda 🙃</t>
  </si>
  <si>
    <t>📝 @Albert_Rivera "Con un corte electoral del 3% los grupos nacionalistas que insultan a #España no estarían en el @Congreso_Es" 📲 Aquí todos los detalles:</t>
  </si>
  <si>
    <t>https://www.ciudadanos-cs.org/prensa/rivera-con-un-corte-electoral-del-3-los-grupos-nacionalistas-que-insultan-a-espana-no-estarian-en-el-congreso/11099</t>
  </si>
  <si>
    <t>https://pbs.twimg.com/media/DsmxqXRXcAASsZ-.jpg</t>
  </si>
  <si>
    <t>Irene Sevilla</t>
  </si>
  <si>
    <t>.@Albert_Rivera recalca a @Pablo_Iglesias_ que el problema de España no es el Rey, sino populismos y nacionalismos</t>
  </si>
  <si>
    <t>https://www.europapress.es/nacional/noticia-rivera-recalca-iglesias-problema-espana-no-monarquia-populismo-20181122130813.html</t>
  </si>
  <si>
    <t>Periodista de Europa Press en el Congreso. Las opiniones son mías y sólo mías.</t>
  </si>
  <si>
    <t>Demokrata10</t>
  </si>
  <si>
    <t>Muy bien pequeño saltamontes, el papi albert esta muy orgulloso de ti @Albert_Rivera RT @manuelvalls: La reacción del diputado de @Esquerra_ERC en el Congreso @GabrielRufian insultando al ministro @JosepBorrellF es inadmisible. La actitud de Rufián viola constantemente los criterios básicos del diálogo político y la convivencia democrática.</t>
  </si>
  <si>
    <t>https://twitter.com/manuelvalls/status/1065230851200507905</t>
  </si>
  <si>
    <t>Republica de Catalunya</t>
  </si>
  <si>
    <t>Cuenta de TW dedicada a la actualidad política y Democratica en España y Europa #LlibertatPresosPolítics</t>
  </si>
  <si>
    <t>Ciudadano Pistoni</t>
  </si>
  <si>
    <t>Alberto de Jesús</t>
  </si>
  <si>
    <t>#SiALosEncierosDeAmpuero Los encierros de Ampuero merecen ser reconocidos como Fiestas de Interés Turístico Nacional  @RevillaMiguelA @Albert_Rivera @sanchezcastejon @pablocasado_ @Pablo_Iglesias_ RT @Alberto_deJesus: Los encierros de Ampuero merecen ser reconocidos como Fiestas de Interés Turistico Nacional</t>
  </si>
  <si>
    <t>Sedaví, España</t>
  </si>
  <si>
    <t>El liderazgo no es sinónimo de dominación, sino el arte de convencer a la gente de que colabore para alcanzar un objetivo común ( Daniel Goleman ).</t>
  </si>
  <si>
    <t>https://www.mundotoro.com/noticia/revilla-no-es-una-maravilla/1398014
https://twitter.com/Alberto_deJesus/status/1065566855631437825
https://www.facebook.com/albertodjesus/posts/2404591276278156</t>
  </si>
  <si>
    <t>Taurino Director revista Bous al Carrer de festejos populares http://www.bousalcarrer.com Fotógrafo taurino de @Revista6Toros6, http://mundotoro.com y agencias</t>
  </si>
  <si>
    <t>Cuelebre</t>
  </si>
  <si>
    <t>Más comentados ahora en Derecha/Centro Dcha.: ➀ @sanchezcastejon ↓ ➁ @Desayunos_tve ↓ ➂ @Alvisepf ↓ ➃ @carmelojorda ↑↑ ➄ @gabrielrufian ↓ ➅ @Albert_Rivera ↓ ➆ @Santi_ABASCAL ↑ ➇ @5chuspis ↑ ➈ @rosadiezglez ↓</t>
  </si>
  <si>
    <t>Principado de Asturias, España</t>
  </si>
  <si>
    <t>Ex residente en Barcelona, Tarrasa y Tarragona. Ahora en Asturias viendo los efectos de 35 años de gobierno socialista.</t>
  </si>
  <si>
    <t>Más influyentes ahora en Derecha/Centro Dcha.: ➀ @Desayunos_tve ↑ ➁ @Alvisepf ↓ ➂ @carmelojorda ↑↑ ➃ @Santi_ABASCAL ↑ ➄ @Albert_Rivera ↓ ➅ @5chuspis ↑ ➆ @rosadiezglez ↓ ➇ @javiernegre10 ↓ ➈ @hermanntertsch ↑</t>
  </si>
  <si>
    <t>carlossanchez15</t>
  </si>
  <si>
    <t>Albert Rivera dice que llamar golpista “no es insultar, es describir” @lavanguardia  Entonces llamar a los de ciudadanos fascistas no es insultar es describir. @Albert_Rivera</t>
  </si>
  <si>
    <t>http://shr.gs/UQ5jQbP</t>
  </si>
  <si>
    <t>Esto @Almagro_OEA2015 @marcorubio @mauriciomacri @sebastianpinera @MartinVizcarraC @IvanDuque @EPN @MaritoAbdo @mbachelet @jairbolsonaro @JCvalera @Lenin @beatrizbecerrab @pablocasado @Albert_Rivera @epsycampbell 🇻🇪🇻🇪🇻🇪🇻🇪🇻🇪🇻🇪🇻🇪🇻🇪🇻🇪 RT @tutoquiroga: Éxodo de refugiados de Venezuela, la "tierra de gracia", se acaba sacando a Maduro. Nunca tan pocos, con tanto poder, por tanto tiempo, con tanto dinero, han destrozado tanto a tantos, para beneficio de tan pocos ladrones. Artículo (inglés) en Metro UN.</t>
  </si>
  <si>
    <t>https://twitter.com/tutoquiroga/status/1065422465428570113
http://en.metro-un.com/html5/reader/production/default.aspx?pubname=Metro%20UN%20English&amp;edid=bb161ef0-645b-4ad6-bca5-a28858d5a30d</t>
  </si>
  <si>
    <t>Partido Fantasma</t>
  </si>
  <si>
    <t>#BroncaCongresoARV RIVERA @Albert_Rivera debería criticar al gobierno desde las ideas, no desde los mantras del "helicóptero" y el "avión privado", porque dá la impresión, bastante acertada, de que está frustrado por no ser EL MISMO el que vá en helicóptero o avión.</t>
  </si>
  <si>
    <t>JAVIER</t>
  </si>
  <si>
    <t>autonomo de largo recorrido también castigado por el gobierno saqueador de turno</t>
  </si>
  <si>
    <t>Navarra, Mundo del Espíritu</t>
  </si>
  <si>
    <t>FIAT LUX. OMNIA VINCIT AMOR</t>
  </si>
  <si>
    <t>http://partidofantasma.bandcamp.com/</t>
  </si>
  <si>
    <t>Millán Fernández</t>
  </si>
  <si>
    <t>Albert Rivera é o peor que lle pasou á política española en moitísimo tempo: “los que escupen a un Ministro de España” ... o mesmo lapo que as pedras inexistentes que che tiraron en Alsasua, capullo. Que noxo...</t>
  </si>
  <si>
    <t>Cs Actualidad</t>
  </si>
  <si>
    <t>🗳️ “Con un corte electoral del 3% los grupos nacionalistas que insultan a España no estarían en el Congreso” 👉🏻  @Albert_Rivera “Ha llegado el momento de ponernos al nivel de otros países que ya cuentan con este umbral electoral” 👉🏻  RT @VotaCiudadanos: La UE ha propuesto fijar un mínimo de voto en todos los países para representar a los ciudadanos en las elecciones europeas. En España, más de 50.000 personas ya han firmado #ElTresPorCientoDemocrático, por un sistema electoral más justo.</t>
  </si>
  <si>
    <t>Compostela-Castro Verde-Galiza</t>
  </si>
  <si>
    <t>🎗Politólogo de formación. Comunicación política. Curiosidades (física, natureza, astronomía, música, cine, viaxes, libros) Da @anovagal,📍na República Galega.</t>
  </si>
  <si>
    <t>https://twitter.com/VotaCiudadanos/status/1035172876306075648
https://www.ciudadanos-cs.org/prensa/rivera-con-un-corte-electoral-del-3-los-grupos-nacionalistas-que-insultan-a-espana-no-estarian-en-el-congreso/11099
https://www.change.org/p/por-un-sistema-electoral-justo-y-moderno-eltresporcientodemocrático</t>
  </si>
  <si>
    <t>https://pbs.twimg.com/media/Dsmpso1XoAARJ1J.jpg</t>
  </si>
  <si>
    <t>España, Europa.</t>
  </si>
  <si>
    <t>Ciudadanos, el centro político en España. Perfil de apoyo a @CiudadanosCs #Actualidad #Ciudadanos #ActualidadCs #VotaCs #YoVotoCiudadanos #YoVotoCs</t>
  </si>
  <si>
    <t>Capitán~</t>
  </si>
  <si>
    <t>¿Alguna vez conociste a una celebridad? — Conocí a Zarcort y coincidí en un bar con Albert Rivera... Verídico. Sentí una perturbación en la fuerza y ahí andaba.…</t>
  </si>
  <si>
    <t>https://curiouscat.me/CapitanKyros/post/714059347?t=1542919682</t>
  </si>
  <si>
    <t>El populista hispánico @Albert_Rivera o el encantador d serpientes Capacidad asombrosa d dar carnets d constitucionalista que tiene este vendedor ambulante d crecepelos Define al mayor partido corruPPto como fiel defensor d la Constitución Así+ su discurso crispado=No hay futuro</t>
  </si>
  <si>
    <t>Mordor, de abajo</t>
  </si>
  <si>
    <t>Destino💪🚒Un rollo surfero muy grande como ley de vida. Surfskate 💜🏄🌊. Aiming for heaven though serving in hell.</t>
  </si>
  <si>
    <t>https://pbs.twimg.com/media/Dsmo66mXcAEV6Mk.jpg</t>
  </si>
  <si>
    <t>Javier DG</t>
  </si>
  <si>
    <t>Con VOX llamando a la puerta y @pablocasado_ y @Albert_Rivera peleando por atraer clientela,os dejo unas lineas para los que llevan banderas en la muñeca... Oda a la Bandera. Por @olduvay22  vía @nuevarevoluci0n</t>
  </si>
  <si>
    <t>https://nuevarevolucion.es/oda-la-bandera/</t>
  </si>
  <si>
    <t>La insoportable levedad del tuit Regeneracionismo #NoTTIP #NoCETA</t>
  </si>
  <si>
    <t>http://nuevarevolucion.es/columnas/poesia-critica/</t>
  </si>
  <si>
    <t>Este sábado en @SextaNocheTV entrevistamos al lider de @CiudadanosCs @Albert_Rivera en una semana de mucha tensión en el Congreso: presupuestos, Catalunya, escandalo renovación CGPJ...</t>
  </si>
  <si>
    <t>«Sánchez está más cómodo con los que escupen, que con los que defienden la democracia», ha expresado el líder de Cs, Albert Rivera.</t>
  </si>
  <si>
    <t>🏛️ @Albert_Rivera atiende a los medios en el Escritorio del @CsCongreso para valorar la actualidad política. 📲 Te lo contamos #EnDirecto</t>
  </si>
  <si>
    <t>https://pbs.twimg.com/media/DsmlQPYXcAAI3vo.jpg</t>
  </si>
  <si>
    <t>^(oo)^ ll*ll #DUIt</t>
  </si>
  <si>
    <t>Tengo un gato adoptado. Se pasa 10 minutos removiendo la arena. Caga en el borde del arenero. La mierda cae fuera. Vuelve a remover la arena durante 10 minutos. Viene hasta mí y me dice "miau". Taichi se llama. Le voy a cambiar el nombre por Albert Rivera. Le pega más.</t>
  </si>
  <si>
    <t>Tengo el listón altísimo. Todo lo que pase por debajo me vale.</t>
  </si>
  <si>
    <t>http://j.mp/SHr2ve</t>
  </si>
  <si>
    <t>Mada Heras</t>
  </si>
  <si>
    <t>Mala educación, faltas de respeto, insultos, uso del lenguaje para ofender... @gabrielrufian es la gota pero hay toda una bancada de crispadores, desde @pablocasado_ @Albert_Rivera @Rafa_Hernando a @DolorsMM ... Triste pero es noticia el q dice la + gorda #PoderJudicialARV RT @HerasMada: La política es ya una profesión. En la mayoría la única q han conocido y tenido. Para mantenerla, como dice La Esteban, maaataaan' y el lenguaje es el arma q destaca: te saca la TV, va a tertulias, ... No hay ideología, hay argumentario. No hay servicio público, hay profesión.</t>
  </si>
  <si>
    <t>Enrique</t>
  </si>
  <si>
    <t>https://twitter.com/HerasMada/status/1065521180231258113
https://twitter.com/antonlosada/status/1065518909141540864</t>
  </si>
  <si>
    <t>Albert Rivera farfulla un 'capullo' y 'vaya gilipollas' a Pablo Iglesias en el debate de investidura  vía @publico_es</t>
  </si>
  <si>
    <t>https://www.publico.es/politica/albert-rivera-farfulla-capullo-y.html</t>
  </si>
  <si>
    <t>Periodista. Twitter personal. Defender el Art. 20 de la Carta Magna sobre la libertad de expresión es puro constitucionalismo.</t>
  </si>
  <si>
    <t>http://losmundosdemadeleine.wordpress.com</t>
  </si>
  <si>
    <t>Hijo dEnrique Añino ilzarbe dAndueza Sdad Sevilla Balompié, directivo varios presidentes Balompié Betis Real_idad Centenaria y artífice Escudo 1931-1932.</t>
  </si>
  <si>
    <t>Manuel</t>
  </si>
  <si>
    <t>Un adoctrinamiento que de verdad existe en las escuelas catalanes es el de la #Banca. Pero de este nunca oiréis ni quejarse ni denunciarlo a sus siervos de @CiudadanosCs @Albert_Rivera @InesArrimadas #FemForaALaBanca #AturemEFEC</t>
  </si>
  <si>
    <t>https://www.youtube.com/watch?v=HylzVK0Y0Lo&amp;feature=youtu.be&amp;app=desktop</t>
  </si>
  <si>
    <t>L'Hospitalet de Llobegat</t>
  </si>
  <si>
    <t>Ya sabes Falangito naranja ,cuando tú digas golpistas a ti te llamaremos FASCISTA !!! @Albert_Rivera . Deja de emponzoñar la política. Deja de insultar y calumniar al presidente Sánchez . Condena el franquismo que no has querido hacerlo. Define a VOX ,lo mismo que haces con otro</t>
  </si>
  <si>
    <t>Jesus Maestro</t>
  </si>
  <si>
    <t>Albert Rivera es un crack en su expresión del odio. RT @LaVanguardia: “ERC escupe cada día a la Constitución ya sea de manera física o de manera figurada”, señala el líder de Ciudadanos @leoncita1</t>
  </si>
  <si>
    <t>https://twitter.com/LaVanguardia/status/1065574084866699264
https://www.lavanguardia.com/politica/20181122/453092011111/rivera-golpistas-describir-insultar.html?utm_source=twitter_lv&amp;utm_medium=social</t>
  </si>
  <si>
    <t>Int. Development and Cooperation Specialist. Int. Relations. Catalonia, Spain. MENA, LATAM. Human Rights. BCN. ScPo Professor U. Barcelona. Expert on Terrorism.</t>
  </si>
  <si>
    <t>Que??? Que coño se han creido.... Catedráticos??? @Albert_Rivera RT @iescolar: Más de 120 catedráticos y profesores de Derecho rechazan las acusaciones de rebelión y sedición en el caso 'procés'. Han firmado un manifiesto que alerta de la "banalización" de ambos delitos</t>
  </si>
  <si>
    <t>Bú</t>
  </si>
  <si>
    <t>Mi perra solo tiene dos velocidades: A. Correr como si te persiguiera Albert Rivera para que te afilies a ciudadanos B. Andar a velocidad vieja con tacataca</t>
  </si>
  <si>
    <t>♀</t>
  </si>
  <si>
    <t>José Vidal Ruiz</t>
  </si>
  <si>
    <t>Buenos Días Rosa. Sigue pensando que es su rival Político despreciando a @Albert_Rivera y @Santi_ABASCAL Sólo interesan los Votos ...al Ciudadano de Pié , que le dén. No hay más que ver que escupen a @JosepBorrellF y pasan. Recordemos tod@s " Amamos 🇪🇸 porque no nos gusta " RT @rosadiezglez: Tremendo. Al PSOE le escupe ERC y carga contra el PP . Hay que estar muy mal, pero que muy mal.</t>
  </si>
  <si>
    <t>ALBERT RIVERA, HÉROE catalan y FRACASADO en Espana 📣 EL MOMENTO, 🔗 Sublevación,</t>
  </si>
  <si>
    <t>https://twitter.com/rosadiezglez/status/1065305148321349632</t>
  </si>
  <si>
    <t>https://goo.gl/FehkKe?dkj11=6412196119</t>
  </si>
  <si>
    <t>Madrid - Spain</t>
  </si>
  <si>
    <t>Profesor de Big Data y Desarrollo Cognitivo. Licenciado en Matemáticas Fundamentales. admin@fasesdelabolsa.net + 34 692028934. Borré mi CV anterior, era pasado.</t>
  </si>
  <si>
    <t>http://fasesdelabolsa.net</t>
  </si>
  <si>
    <t>El Falangito Naranja no tiene vergüenza política !! Dice que Sánchez se acuesta con Rufián . Nos puede decir él con quién se acuesta ? Nos encantaría saberlo !! Y también ,por qué no abrió la maleta y enseñó lo que llevaba ?@Albert_Rivera Este tipo es peor que Rufián.</t>
  </si>
  <si>
    <t>.@Albert_Rivera: 'Con un corte electoral del 3% los grupos nacionalistas que insultan a #España no estarían en el Congreso' @JosepBorrellF @CiudadanosCs</t>
  </si>
  <si>
    <t>Jéssica Vázquez 🦖</t>
  </si>
  <si>
    <t>- Ei @nosoycachulu!! Aquí viene Albert Rivera!! - ...</t>
  </si>
  <si>
    <t>http://www.lacerca.com/noticias/espana/rivera-electoral-3-grupos-nacionalistas-insultan-espana-congreso-446110-1.html</t>
  </si>
  <si>
    <t>pic.twitter.com/eTYPAUhWa7</t>
  </si>
  <si>
    <t>9 Barris, SBD, North Korea</t>
  </si>
  <si>
    <t>Adoro el costumbrismo de Manel, amiga intima del Cantante de Manos de Topos, amo REUS, y que decir de Albert Espinosa...(¿Donde mierdas he dejado las drogas?)</t>
  </si>
  <si>
    <t>http://about.me/jsscvzqz</t>
  </si>
  <si>
    <t>Taoista56</t>
  </si>
  <si>
    <t>¿Por qué Albert Rivera no se atreve a decir que Vox es extrema derecha? Twitter analiza los motivos -</t>
  </si>
  <si>
    <t>Jonathan Cabañas</t>
  </si>
  <si>
    <t>Señores @Albert_Rivera y @pablocasado_ que bien se vive en la confrontación constante, ¿verdad?. Buen trabajo, están consiguiendo hacer crecer a la extrema derecha en este nuestro país. ¡MENUDOS IRRESPONSABLES! #BroncaCongresoARV</t>
  </si>
  <si>
    <t>https://www.publico.es/tremending/2018/11/21/por-que-albert-rivera-no-se-atreve-a-decir-que-vox-es-extrema-derecha-twitter-analiza-los-motivos/</t>
  </si>
  <si>
    <t>LO QUE PENSAMOS NOS DÁ FORMA</t>
  </si>
  <si>
    <t>Fuente del Maestre, España</t>
  </si>
  <si>
    <t>Estudiante, #Blogger, #CM, Técnico en PPED, Coordinador de @iulafuente y miembro de @EeAExtremadura.</t>
  </si>
  <si>
    <t>https://www.facebook.com/jonathanmc1996/</t>
  </si>
  <si>
    <t>CiudadanoKane</t>
  </si>
  <si>
    <t>La respuesta de Atresmedia a Albert Rivera por lo que ha dicho sobre 'La casa de papel'</t>
  </si>
  <si>
    <t>Cs Santander</t>
  </si>
  <si>
    <t>📰 @Albert_Rivera "Con un corte electoral del 3% los grupos nacionalistas que insultan a España no estarían en el Congreso" 👉🏼 El presidente de Cs recuerda que 'Ciudadanos no participó del pasteleo en el CGPJ que ha denigrado la imagen de la Justicia'</t>
  </si>
  <si>
    <t>https://www.huffingtonpost.es/2018/11/20/la-respuesta-de-atresmedia-a-albert-rivera-por-lo-que-ha-dicho-sobre-la-casa-de-papel_a_23594976/</t>
  </si>
  <si>
    <t>https://pbs.twimg.com/media/DsmiTk3WkAAYF3V.jpg</t>
  </si>
  <si>
    <t>Santander, España</t>
  </si>
  <si>
    <t>Perfil oficial de la agrupación de @CiudadanosCs en Santander</t>
  </si>
  <si>
    <t>http://Cantabria.ciudadanos-cs.org</t>
  </si>
  <si>
    <t>Más comentados ahora en Derecha/Centro Dcha.: ➀ @sanchezcastejon ↑ ➁ @gabrielrufian ↑ ➂ @Alvisepf ↑ ➃ @Desayunos_tve ↑ ➄ @Albert_Rivera ↓ ➅ @rosadiezglez ↓ ➆ @PPopular ↑ ➇ @javiernegre10 ↓ ➈ @PSOE ↓ ➉ @guardiacivil ↓</t>
  </si>
  <si>
    <t>Más influyentes ahora en Derecha/Centro Dcha.: ➀ @Alvisepf ↑ ➁ @Desayunos_tve ↑ ➂ @Albert_Rivera ↓ ➃ @rosadiezglez ↓ ➄ @javiernegre10 ↓ ➅ @Santi_ABASCAL ↓ ➆ @carrizosacarlos ↑ ➇ @FroilLannister ↓ ➈ @5chuspis ↑</t>
  </si>
  <si>
    <t>Antonio Fidalgo</t>
  </si>
  <si>
    <t>Hola @sanchezcastejon @pablocasado_ @Albert_Rivera @Pablo_Iglesias_ ¿Os explicáis? ¿O luego insistiréis en que el peligro son las RRSS, la postverdad, Putin, Trump, el Brexit, etc...?</t>
  </si>
  <si>
    <t>https://pbs.twimg.com/media/DsmgHMhUcAA6O2J.jpg</t>
  </si>
  <si>
    <t>LCR</t>
  </si>
  <si>
    <t>la suerte q tiene Albert Rivera esq Oriol junqueras tiene dos hijos pequeños ....si en ver de ser pequeños ...tuvieran mas edad ...le pedirian explicaciones por la MOFA Y EL ESCARNIO GRATUITO Q ESTA HACIENDO CON LA FIGURA DE ORIOL.MIRA FAS CISTA ....ERES UN MISERABLE MALPARIDO !!</t>
  </si>
  <si>
    <t>#BroncaCongresoARV Hoy @Mhemeroteca está buscando aún , cuando @Albert_Rivera en @DebatAlRojoVivo , en toda la cara de Ferreras , decía que condenaba el franquismo Ayer , volvió a llamar gilipollas a todos los españoles con la colaboración de su títere Antonio García Ferreras</t>
  </si>
  <si>
    <t>Demócrata mi lucha por la libertad nunca http://cejara.Soy Español de Verdad y respeto La libertad estaré donde se luche por LA DEMOCRACIA LIBERTAD y la Republica✊✊✊</t>
  </si>
  <si>
    <t>HEAVENDIED</t>
  </si>
  <si>
    <t>Albert Rivera, el gran amigo de la policia.</t>
  </si>
  <si>
    <t>https://youtu.be/_pBEKVboZqY</t>
  </si>
  <si>
    <t>PolíticosyCubatas</t>
  </si>
  <si>
    <t>#BroncaCongresoARV @Albert_Rivera se llena la boca autoproclamándose CONSTITUCIONALISTA, dónde en esa constitución de le otorga el poder de declarar culpable a alguien de algo antes que la justicia?</t>
  </si>
  <si>
    <t>TO THE MOON</t>
  </si>
  <si>
    <t>GOLDEN DREAMS.</t>
  </si>
  <si>
    <t>Tercio Hispánico. #LibertadPolíticaColectiva</t>
  </si>
  <si>
    <t>Albert Rivera en VI Escuela de Verano DENAES 2012 🔔 LIBERTAD INSTRUMENTAL,</t>
  </si>
  <si>
    <t>https://youtu.be/V9YYQDqha-Q?brj97=966862609</t>
  </si>
  <si>
    <t>La Cruz de Borgoña ha sido incluida en escudos de armas y en banderas de España desde 1506. Como símbolo vexilológico, ha sido el más utilizado hasta 1785.</t>
  </si>
  <si>
    <t>Dani Carpio Martín</t>
  </si>
  <si>
    <t>Distingo mejor a Andy y Lucas que a Pablo Casado y Albert Rivera</t>
  </si>
  <si>
    <t>Fon R. Osle</t>
  </si>
  <si>
    <t>Contad las veces que @Albert_Rivera habla de "golpe" y os hareis una idea de las ganas que tiene de rebajar la crispación.</t>
  </si>
  <si>
    <t>26. Vallisoletano. Matemático y ahora proyecto de Estadístico, es decir, alguien muy loco. Reir como afición. Tv, política, chistes malos y croquetas.</t>
  </si>
  <si>
    <t>https://www.instagram.com/nicarpio_da/</t>
  </si>
  <si>
    <t>Lourdes Cano</t>
  </si>
  <si>
    <t>Yo le veo cara de sinvergüenza fascista. La durísima definición que hace Ana Morgade de Albert Rivera</t>
  </si>
  <si>
    <t>Palabras sueltas, cazadas a lazo y agrupadas contra su voluntad.</t>
  </si>
  <si>
    <t>https://www.huffingtonpost.es/2018/11/03/ana-morgade-en-otra-vuelta-de-tuerka-para-mi-albert-rivera-es-la-imagen-del-panico_a_23579452/?ncid=other_twitter_cooo9wqtham&amp;utm_campaign=share_twitter</t>
  </si>
  <si>
    <t>~* Al final todo sale bien y si no, es que todavía no es el final *~</t>
  </si>
  <si>
    <t>Daniel Seixo</t>
  </si>
  <si>
    <t>Ayer se le pedía a @Albert_Rivera que no usase la palabra golpista, hoy insiste. No tiene otra estrategia que no sea el odio y la confrontación, lamentable.</t>
  </si>
  <si>
    <t>O que Ciudadanos llegue a acuerdos sobre lo acordado PSOE-Podemos en #economía y Presupuestos Generales del Estado. Entre 2015 y 2016 se pidió lo mismo a Podemos desde el Eje PSOE-Ciudadanos cuando Rajoy renunció a la investidura, dura.</t>
  </si>
  <si>
    <t>https://pbs.twimg.com/media/DsoboS6U4AALj3G.jpg</t>
  </si>
  <si>
    <t>Galiza</t>
  </si>
  <si>
    <t>"A vergoña é peor que a fame" Alfonso Castelao. Columnista e Coordinador en @NuevaRevoluci0n</t>
  </si>
  <si>
    <t>http://nuevarevolucion.es/firmas/daniel-seijo/</t>
  </si>
  <si>
    <t>🤦🏽‍♀️</t>
  </si>
  <si>
    <t>Si un facha me ha dado fav es que algo estoy haciendo mal. Como cuando a Ignatius le dio fav Albert Rivera.</t>
  </si>
  <si>
    <t>#BroncaCongresoARV El facha de @Albert_Rivera defendiendo la constitución con con Libertas como socio</t>
  </si>
  <si>
    <t xml:space="preserve">Asturias </t>
  </si>
  <si>
    <t>https://pbs.twimg.com/media/DsmgG0lX4AE2E2m.jpg</t>
  </si>
  <si>
    <t>¿Qué fue de Punky Brewster?</t>
  </si>
  <si>
    <t>OTRAS #ELECCIONES MÁS NO cambiaran la #España a cuatro, por lo que el problema es de ellos no de los votantes. Ellos son: Albert Rivera y Pablo Iglesias.</t>
  </si>
  <si>
    <t>https://pbs.twimg.com/media/DsobCslVsAAPSx_.jpg</t>
  </si>
  <si>
    <t>Diaz II</t>
  </si>
  <si>
    <t>#broncacongresoarv @Albert_Rivera dice q el principal problema en España es el separatismo.El primer problema es el paro,la corrupción etc...con tanto discurso sobre catalunya solo hace incendiar mas todo</t>
  </si>
  <si>
    <t>Cordoba</t>
  </si>
  <si>
    <t>Cuando das amor sin recibir nada a cambio, todo el universo ruge y en tu interior crecen nuevos arboles</t>
  </si>
  <si>
    <t>https://www.facebook.com/pages/Juan-Carlos-DZ/102718446446495?fref=ts</t>
  </si>
  <si>
    <t>Rosa María</t>
  </si>
  <si>
    <t>Te estoy escuchando en directo @Albert_Rivera y creo que el separatismo no es el mayor problema que tiene España hoy. El mayor problema, para mí, es la corrupción, las políticas antisociales, y que un dictador siga dentro del Valle de Los Caídos. Buenos días</t>
  </si>
  <si>
    <t>Franciscoalbacarmona@Gmail</t>
  </si>
  <si>
    <t>Lo del miserable @Albert_Rivera es cada día más insoportable. ..y lo de Ferreras defendiendo al fantoche del falangito.</t>
  </si>
  <si>
    <t>Entonces -sonrió el sabio- Si no es verdadero, ni bueno, ni necesario… sepultémoslo en el olvido…”</t>
  </si>
  <si>
    <t>daviddrh 🎗</t>
  </si>
  <si>
    <t>Hace un tiempo @CiudadanosCs, de la mano de @InesArrimadas y @Albert_Rivera se envolvieron en la bandera de la ecología para atacar a los lazos amarillos con el argumento de que contaminan. Hoy fletan un autocar (que contamina) para pasear su odio por las Españas. #Fascistas</t>
  </si>
  <si>
    <t>https://pbs.twimg.com/media/Dsmd_bNX4AEt3Pd.jpg</t>
  </si>
  <si>
    <t>Catalunya (Europa)</t>
  </si>
  <si>
    <t>Shira</t>
  </si>
  <si>
    <t>El líder del feminismo se hace llamar @Albert_Rivera. No cayó en que el #25N es el día que las mujeres nos movilizamos porque no paran de asesinarnos. RT @Albert_Rivera: Indultos no, #EleccionesYa .</t>
  </si>
  <si>
    <t>https://twitter.com/Albert_Rivera/status/1064931881949511681
https://www.elespanol.com/espana/politica/20181120/ciudadanos-saca-tramabus-sanchez-indultos-no-elecciones/354715424_0.html</t>
  </si>
  <si>
    <t>Derecho en la UNED -intentando no morir en el intento-. En la PAH para PAHrarlos💚 El lugar de una mujer está en la resistencia ♀️</t>
  </si>
  <si>
    <t>ＳＡＶＩＳＣＡＴＡＬＡＮＳ🎗</t>
  </si>
  <si>
    <t>Increíbles imágenes de la pelea en un restaurante entre Albert rivera y Pablo casado!!!</t>
  </si>
  <si>
    <t>pic.twitter.com/LLX3kUyGVQ</t>
  </si>
  <si>
    <t>SirGioZ</t>
  </si>
  <si>
    <t>Alguien se imagina a @pablocasado_ o @Albert_Rivera defendiendo sus ideas con argumentos -basados en hechos reales-?</t>
  </si>
  <si>
    <t>https://elpais.com/elpais/2018/11/21/opinion/1542806031_921444.amp.html?__twitter_impression=true</t>
  </si>
  <si>
    <t>TWITTER OFICIAL dels 𝗦𝗮𝘃𝗶𝘀Catalans 𝘥𝘦 𝘚𝘢𝘯𝘵 𝘌𝘴𝘵𝘦𝘷𝘦 𝘥𝘦 𝘭𝘦𝘴 𝘙𝘰𝘶𝘳𝘦𝘴 tendencia humoristica de la politica actual y derivados</t>
  </si>
  <si>
    <t>http://www.facebook.com/saviscatalans</t>
  </si>
  <si>
    <t>London, England</t>
  </si>
  <si>
    <t>Aggressively opinionated Zamorano. La Bermeja os hará libres.</t>
  </si>
  <si>
    <t>Y el golpe de Estado q ven @Albert_Rivera y @pablocasado_ y q no existía cuando cogobernaban, se votaba referendum y un ministro @PPopular mandaba a la Fuerzas d Seguridad en el Piolín. La politización #Justicia terminará en varapalo en Estraburgo. Es ruido políticoelectoral. RT @JavierArocaA: Muy de acuerdo Más de 120 catedráticos y profesores de Derecho rechazan las acusaciones de rebelión y sedición en el caso 'procés'  vía @eldiarioes</t>
  </si>
  <si>
    <t>Juanan_08🔻</t>
  </si>
  <si>
    <t>Encuentra a Albert Rivera</t>
  </si>
  <si>
    <t>https://twitter.com/JavierArocaA/status/1065546545637007360
https://m.eldiario.es/_31f567e9</t>
  </si>
  <si>
    <t>https://pbs.twimg.com/media/DsoYFDzVAAA2QnR.jpg</t>
  </si>
  <si>
    <t>Madrid. Historiador y profesor (de la pública). Lector frecuente y viajero ocasional. Socio del Rayo Vallecano. Avanti popolo!</t>
  </si>
  <si>
    <t>Carlos Peñafiel</t>
  </si>
  <si>
    <t>Más comentados ahora en Derecha/Centro Dcha.: ➀ @sanchezcastejon ↓ ➁ @Desayunos_tve ↓ ➂ @Alvisepf ↓ ➃ @gabrielrufian ↓ ➄ @Albert_Rivera ↑ ➅ @Santi_ABASCAL ↑ ➆ @rosadiezglez ↓ ➇ @javiernegre10 ↓ ➈ @guardiacivil ↑</t>
  </si>
  <si>
    <t>Murcia</t>
  </si>
  <si>
    <t>Concejal en el ayuntamiento de Murcia. Comprometido con Ciudadanos Cs y su proyecto. ¿Hablamos?</t>
  </si>
  <si>
    <t>Más influyentes ahora en Derecha/Centro Dcha.: ➀ @Desayunos_tve ↓ ➁ @Alvisepf ↓ ➂ @Albert_Rivera ↑ ➃ @Santi_ABASCAL ↑ ➄ @rosadiezglez ↓ ➅ @javiernegre10 ↓ ➆ @Nanchinho ↑ ➇ @monasterioR ↓ ➈ @carmelojorda ↑</t>
  </si>
  <si>
    <t>Georgina 🇪🇸🇮🇹🇺🇸</t>
  </si>
  <si>
    <t>Problemas para comprar coches con combustible alternativo #BuenosDias  @Pablo_Iglesias_ @pablocasado_ @TeresaRodr_ @Albert_Rivera</t>
  </si>
  <si>
    <t>https://elrinconcito-georgina.blogspot.com/2018/11/problemas-para-comprar-coches-de.html</t>
  </si>
  <si>
    <t>NS/NC🤫</t>
  </si>
  <si>
    <t>Senior industrial engineer. Fan of @gloriaestefan &amp; @madonna . Aeronautical fan. Las banderas representan los idiomas que hablo. Respeto la libertad politica.</t>
  </si>
  <si>
    <t>Paula Ink</t>
  </si>
  <si>
    <t>Albert Rivera me ha bloqueado antes que Juan Ignacio Zoido, y eso es lo que más me duele..</t>
  </si>
  <si>
    <t>Ayer @pablocasado_ y @Albert_Rivera se quedaron fuera de la polémica, a ver lo que tardan hoy en montar un pollo, el uno o el otro o los dos a la vez .... que en Andalucía andan con elecciones!</t>
  </si>
  <si>
    <t>Montaña Paozu</t>
  </si>
  <si>
    <t>Por debajo de esta apariencia de ligeramente loca y socialmente inepta, soy un completo desastre. Mamá, quiero ser artista.</t>
  </si>
  <si>
    <t>Nomaguanto</t>
  </si>
  <si>
    <t>Albert Rivera propondrá que los nacionalistas tengan un 3% de los votos para entrar en el Congreso  vía @elmundoes A ver si PP y PSOE son valientes y aprueban esta reforma imprescindible.</t>
  </si>
  <si>
    <t>⛅ ¡Buenos días y #FelizJueves! 📰 @Albert_Rivera "A Sánchez no le importan los autónomos ni el IRPF, si no formar una mayoría política a cambio de indultos"</t>
  </si>
  <si>
    <t>https://www.ciudadanos-cs.org/prensa/rivera-a-sanchez-no-le-importan-los-autonomos-ni-el-irpf-si-no-formar-una-mayoria-politica-a-cambio-de-indultos/11088</t>
  </si>
  <si>
    <t>https://pbs.twimg.com/media/DsmMwyfXcAAX6mZ.jpg</t>
  </si>
  <si>
    <t>📽 @Albert_Rivera "Casado y Sánchez han denigrado la imagen de la Justicia. Los fiscales y jueces hacen manifestaciones para pedir independencia judicial; por eso pedimos que los políticos no elijan a los jueces" #LosDesayunos</t>
  </si>
  <si>
    <t>pic.twitter.com/V993w4Y5KD</t>
  </si>
  <si>
    <t>José Farinós</t>
  </si>
  <si>
    <t>📽 @Albert_Rivera "Lamento que el señor Sánchez mintiera en sede parlamentaria y ahora dé plantón a los disidentes cubanos para no molestar a la dictadura castrista" #LosDesayunos</t>
  </si>
  <si>
    <t>pic.twitter.com/ZzQSsVs3c6</t>
  </si>
  <si>
    <t>barcelona, quizas...</t>
  </si>
  <si>
    <t>Periodista de tercera generación, a pesar de todo...Apasionado por la política, lobby, comunicación corporativa y me desintoxico con el deporte: gimnasia, golf.</t>
  </si>
  <si>
    <t>http://www.1990mcs.com</t>
  </si>
  <si>
    <t>📽 @Albert_Rivera "Es una vergüenza la actitud de ciertos grupos parlamentarios. Proponemos un cambio en la ley electoral que establezca como barrera conseguir un 3% de los votos a nivel nacional para acceder al Congreso" #LosDesayunos</t>
  </si>
  <si>
    <t>GranadaConSusana</t>
  </si>
  <si>
    <t>📺🔴 susanadiaz: "pablocasado_ parece que esconde a su propio candidato en #Andalucia y Albert_Rivera está tutelando al suyo. sanchezcastejon, en cambio, está comprometido y cumpliendo con #Andalucía" #MásAndalucía</t>
  </si>
  <si>
    <t>pic.twitter.com/CQPTeuMzVI</t>
  </si>
  <si>
    <t>https://pbs.twimg.com/media/DsoSNFDW0AALE5_.jpg</t>
  </si>
  <si>
    <t>Perfil dedicado a la Secretaria General de lxs Socialistas Andaluces.</t>
  </si>
  <si>
    <t>📽 @Albert_Rivera "Los apoyos políticos se consiguen en las urnas; no a cambio de indultos. Ayer literalmente escupieron a España los señores de ERC: Sánchez debe decidir si gobernar con ellos o con los que aplaudimos a Borrell" #LosDesayunos</t>
  </si>
  <si>
    <t>pic.twitter.com/7WciP1Ufsq</t>
  </si>
  <si>
    <t>Gustavo Hervas</t>
  </si>
  <si>
    <t>Fuenlabrada, #SocialMedia #Periodista</t>
  </si>
  <si>
    <t>David Quirós</t>
  </si>
  <si>
    <t>Miles de empresas, PYMES y autónomos volviéndose locos para cumplir la GDPR y llega la clase política a reírse de todos nosotros  ¿Cómo vais a justificar esto @sanchezcastejon @pablocasado_ @Albert_Rivera @Pablo_Iglesias_?</t>
  </si>
  <si>
    <t>https://elpais.com/sociedad/2018/11/21/actualidad/1542791655_314453.amp.html</t>
  </si>
  <si>
    <t>Asturias / Madrid</t>
  </si>
  <si>
    <t>Chief Rock&amp;Roll Officer. Continuos learning. Optimista digital. #GrowthHacker #MarketingDigital #ecommerce #transformaciondigital #MIBers #beerlover</t>
  </si>
  <si>
    <t>https://davidquiros.es</t>
  </si>
  <si>
    <t>📽 @Albert_Rivera "Lamentablemente España ha sufrido dos golpes de Estado: uno militar con Tejero y otro por parte de los señores que están en la cárcel por dar un golpe a la democracia" #LosDesayunos</t>
  </si>
  <si>
    <t>EUROCOPS</t>
  </si>
  <si>
    <t>pic.twitter.com/XQZYMF3XPc</t>
  </si>
  <si>
    <t>Cuenta no oficial dedicada a FFCCSE / FFCCS / FAS / VS.</t>
  </si>
  <si>
    <t>https://m.facebook.com/eurocops</t>
  </si>
  <si>
    <t>Javi Merino</t>
  </si>
  <si>
    <t>No le entendemos señor .@JJSanMartin: mientras @Albert_Rivera dice que no quiere el AVE en Logroño, usted exige al @PPopular y no al PSOE, avanzar en el soterramiento. ¿Por boca de quién habla? ¿ @CiudadanosCs o @PSOE?</t>
  </si>
  <si>
    <t>https://www.larioja.com/la-rioja/201511/22/riojanos-tienen-plantearse-quieren-20151122005510-v.html</t>
  </si>
  <si>
    <t>Logroño</t>
  </si>
  <si>
    <t>Portavoz del Grupo Municipal @pplogrono Concejal de Alcaldía, Deportes, Jóvenes en @AytoLogrono. Presidente @LogronoDeporte Abogado no Ejerciente</t>
  </si>
  <si>
    <t>🗣️@Albert_Rivera censura la "purga" del abogado del Estado Edmundo Bal. 📰Lee la noticia hoy en La Opinión👇</t>
  </si>
  <si>
    <t>https://www.laopinion.es/nacional/2018/11/21/rivera-censura-purga-edmundo-bal/930192.html</t>
  </si>
  <si>
    <t>Imanol</t>
  </si>
  <si>
    <t>A ver si @albert_rivera va a tener que estudiar un Máster en Comunicación Política e Institucional...</t>
  </si>
  <si>
    <t>https://pbs.twimg.com/media/DsmH7paXcAAoTSF.jpg</t>
  </si>
  <si>
    <t>Andalucía.</t>
  </si>
  <si>
    <t>Periodista en un mundo donde decir la verdad se convierte en un acto revolucionario. Ex-redactor de Digital Sevilla, ahora en @kaosenlarednet.</t>
  </si>
  <si>
    <t>.@Albert_Rivera elude calificar a Vox como partido de extrema derecha | España | EL PAÍS</t>
  </si>
  <si>
    <t>https://elpais.com/politica/2018/11/21/actualidad/1542795112_974513.html</t>
  </si>
  <si>
    <t>DE VALLEKAS</t>
  </si>
  <si>
    <t>Carlos Allende</t>
  </si>
  <si>
    <t>Albert Rivera es el típico que en el 36 iría con una camisa azul para ir provocando.</t>
  </si>
  <si>
    <t>Más comentados ahora en Derecha/Centro Dcha.: ➀ @sanchezcastejon ↓ ➁ @Albert_Rivera ↓ ➂ @gabrielrufian ↓ ➃ @Santi_ABASCAL ↓ ➄ @rosadiezglez ↑ ➅ @Alvisepf ↑ ➆ @FroilLannister ↑ ➇ @javiernegre10 ↑ ➈ @Societatcc ↓</t>
  </si>
  <si>
    <t>#Gamberro . De los de abajo y barrionalista . ADRV. Vallekas./// José Monje Cruz ..presente !! José Monje Cruz la fuente!</t>
  </si>
  <si>
    <t>DARSENA</t>
  </si>
  <si>
    <t>La paja y la viga, populismo de ida y vuelta. España no necesita más. Albert Rivera, en el 2017: "Montar un autobús no es hacer oposición, es un show"</t>
  </si>
  <si>
    <t>https://www.elperiodico.com/es/politica/20181122/albert-rivera-2017-montar-autobus-no-es-hacer-oposicion-7161584</t>
  </si>
  <si>
    <t>ibn maher 🇸🇾</t>
  </si>
  <si>
    <t>Es vomitivo como @Albert_Rivera suelta mierda y propaganda contra Cuba mientras su partido fascista se abstiene en la condena del Senado al franquismo. Puto asco.</t>
  </si>
  <si>
    <t>Ni oblit, ni perdo !</t>
  </si>
  <si>
    <t>Andalucía - Siria</t>
  </si>
  <si>
    <t>De padre sirio y madre andaluza. @sirioandaluz</t>
  </si>
  <si>
    <t>http://sirioandaluz.blogspot.com.es/</t>
  </si>
  <si>
    <t>Más influyentes ahora en Derecha/Centro Dcha.: ➀ @Albert_Rivera ↓ ➁ @Santi_ABASCAL ↓ ➂ @rosadiezglez ↑ ➃ @Alvisepf ↑ ➄ @FroilLannister ↑ ➅ @javiernegre10 ↑ ➆ @Societatcc ↓ ➇ @monasterioR ↑ ➈ @JosPastr ↓</t>
  </si>
  <si>
    <t>Vilanova Conceiçao, São Paulo,</t>
  </si>
  <si>
    <t>🏴</t>
  </si>
  <si>
    <t>Cs Bailén</t>
  </si>
  <si>
    <t>🍊 @Albert_Rivera estará en los @Desayunos_tve para hablar sobre la actualidad política. 📲 ¡Aquí te dejamos el enlace para que puedas verlo #EnDirecto 👇👇👇👇 !</t>
  </si>
  <si>
    <t>http://www.rtve.es/directo/la-1/</t>
  </si>
  <si>
    <t>https://pbs.twimg.com/media/DsmDb8AX4AEVN3o.jpg</t>
  </si>
  <si>
    <t>Bailén, España</t>
  </si>
  <si>
    <t>Perfil en Twitter de Ciudadanos Bailén</t>
  </si>
  <si>
    <t>https://www.ciudadanos-cs.org/</t>
  </si>
  <si>
    <t>Alberto Gómez</t>
  </si>
  <si>
    <t>Hace unos años Ciudadanos proponía una ley sencilla: un ciudadano, un voto. Y se quejaba de la ley electoral. Hoy Albert Rivera propondrá que los nacionalistas tengan un 3% de los votos para entrar en el Congreso. Cómo hemos cambiado.</t>
  </si>
  <si>
    <t>Bobஇ Fettidஇ</t>
  </si>
  <si>
    <t>"Yo no veo fachas, sólo españoles militantes en un posible aliado político" @Albert_Rivera</t>
  </si>
  <si>
    <t>pic.twitter.com/FdweHqO4ZD</t>
  </si>
  <si>
    <t>Escritor y periodista. Editor en @edcarpenoctem y @seuratediciones. Director en @Comunicaymas. Insomne</t>
  </si>
  <si>
    <t>http://www.albertogomezvaquero.es</t>
  </si>
  <si>
    <t>Aquí, ahora mismo.</t>
  </si>
  <si>
    <t>Me ciño a las 3 Leyes Homerianas : 1. Cúbreme! 2. Cuando llegué ya estaba así 3. Buena idea, jefe!</t>
  </si>
  <si>
    <t>Prensa fresca</t>
  </si>
  <si>
    <t>📽 @Albert_Rivera "Ni queremos indultos por ser colegas del presidente, ni queremos indultos por saber marrones del presidente, ni queremos indultos por ser socios del presidente. Queremos que no se indulte a nadie y se cumplan las sentencias" #STOPindultos</t>
  </si>
  <si>
    <t>https://T.co/j4f70JDuUn</t>
  </si>
  <si>
    <t>pic.twitter.com/FPNYflUMgp</t>
  </si>
  <si>
    <t>Las noticias más comentadas en Twitter según los medios más enlazados. Información continua y actualizada</t>
  </si>
  <si>
    <t>JOSEAN</t>
  </si>
  <si>
    <t>alfonso freire</t>
  </si>
  <si>
    <t>INTERESANTE reflexión d Manuel Arias Maldonado .Es muy probable q @pablocasado_ y @Albert_Rivera lo estén leyendo YA y a @sanchezcastejon y @Pablo_Iglesias_ les estarán pasando los recortes de prensa. ESPERO que les sea ÚTIL.</t>
  </si>
  <si>
    <t>https://pbs.twimg.com/media/DsmBaBaW0AAl2U5.jpg</t>
  </si>
  <si>
    <t>Noticiero Universal</t>
  </si>
  <si>
    <t>Albert Rivera: "A Sánchez se le ha ido de las manos el monstruo de Frankenstein que construyó con Rufián, Iglesias, Torra y Bildu" -</t>
  </si>
  <si>
    <t>Tres Cantos, España</t>
  </si>
  <si>
    <t>Aprendiz de economía, amigo de la filosofía y.... algo de TODO y mucho de NADA. Pero..... resisto.</t>
  </si>
  <si>
    <t>https://noticierouniversal.com/actualidad/albert-rivera-a-sanchez-se-le-ha-ido-de-las-manos-el-monstruo-de-frankenstein-que-construyo-con-rufian-iglesias-torra-y-bildu/</t>
  </si>
  <si>
    <t>Jose Luis de la Call</t>
  </si>
  <si>
    <t>Voy a empezar a seguir a @pablocasado_ @sanchezcastejon @Albert_Rivera @Pablo_Iglesias_ @gabrielrufian para despistar a la ficha ideologíca. Avisados estais, xd.</t>
  </si>
  <si>
    <t>Noticias en tiempo real</t>
  </si>
  <si>
    <t>http://www.noticierouniversal.com</t>
  </si>
  <si>
    <t>El Poder del Silencio</t>
  </si>
  <si>
    <t>Habitante de la Tierra</t>
  </si>
  <si>
    <t>http://coctelbolsa.webnode.es/</t>
  </si>
  <si>
    <t>Hay que ver el gran payaso que es el fascista Albert Rivera, habla del escupinajo, cuando ha quedado claro, que ha sido un montaje del impresentable Borrell</t>
  </si>
  <si>
    <t>Se te ve plumero “amigo”“catalán”q“ama la tierra donde nació”@Albert_Rivera Lo q pasa es q eres algo inteligente y sabes engañar a la gente RT @ander_errasti: PSOE? Amigos de los golpistas PNV? Racistas y egoístas Bildu? Etarras PDECat y ERC? Golpistas y supremacistas Podemos? Amigos de los golpistas y bolivarianos de extrema izquierda VOX? Yo no entro a valorar estas cosas. Eso se lo dejo a ustedes. Vaya tela. Y es reproducción soft</t>
  </si>
  <si>
    <t>CHEMA OLMEDO PRESS</t>
  </si>
  <si>
    <t>SEVILLA, ESPAÑA</t>
  </si>
  <si>
    <t>Comunicólogo,Prensa Digital. Director Medio.Chema Olmedo,no se hace eco de los tuits, retuiteados,ni contenidos ajenos.Información y Divulgación diaria noticias</t>
  </si>
  <si>
    <t>https://www.facebook.com/EDUCACION.CULTURA.DEPORTES.NOTICIAS</t>
  </si>
  <si>
    <t>Ursuleta</t>
  </si>
  <si>
    <t>Esto es neutralidad del espacio público??? Eh @InesArrimadas @Albert_Rivera??????</t>
  </si>
  <si>
    <t>http://www.ccma.cat/324/un-autobus-de-ciutadans-fa-campanya-contra-els-indults-amb-junqueras-i-puigdemont/noticia/2888397/
http://www.ccma.cat/324/un-autobus-de-ciutadans-fa-campanya-contra-els-indults-amb-junqueras-i-puigdemont/noticia/2888397/#.W_ZotWiOq1g.twitter</t>
  </si>
  <si>
    <t>rafaelwv</t>
  </si>
  <si>
    <t>Ich mag das @YouTube-Video:  💥VAYA OSTIÓN💥Albert RIVERA ⚡️ZURRA⚡️ a RUFIÁN, a SÁNCHEZ y a</t>
  </si>
  <si>
    <t>http://youtu.be/Vn5QOJG3_SM?a</t>
  </si>
  <si>
    <t>Spain</t>
  </si>
  <si>
    <t>Advocatus Diaboli. Abyssus abyssum invocat. Si llevas lacito amarillo o eres nacionalista de cualquier tipo vas directamente a /dev/null</t>
  </si>
  <si>
    <t>http://www.nach-schlag.com/</t>
  </si>
  <si>
    <t>Pat🎗</t>
  </si>
  <si>
    <t>¿No habiamos quedado que el espacio publico tenia que ser neutral? @InesArrimadas @Albert_Rivera @CiudadanosCs</t>
  </si>
  <si>
    <t>https://pbs.twimg.com/media/Dsl_Jr_W0AAOuys.jpg</t>
  </si>
  <si>
    <t>http://dlvr.it/Qrt34m</t>
  </si>
  <si>
    <t>https://pbs.twimg.com/media/DsoKwJzUwAA_M4h.jpg</t>
  </si>
  <si>
    <t>Punk or die</t>
  </si>
  <si>
    <t>En breve comienza la entrevista a @Albert_Rivera, presidente de @CiudadanosCs, en @Desayunos_tve de @rtve. Yo no me lo pierdo. ¿Y tú? #AhoraSíCs #FelizJueves RT @CiudadanosCs: 📺🔜 En breve @Albert_Rivera estará en los @Desayunos_tve para hablar sobre la actualidad política. 📲 ¡Aquí te dejamos el enlace para que puedas verlo #EnDirecto !</t>
  </si>
  <si>
    <t>https://twitter.com/CiudadanosCs/status/1065515873832771584
http://www.rtve.es/directo/la-1/</t>
  </si>
  <si>
    <t>https://pbs.twimg.com/media/Dsl5AhbWsAE9H2r.jpg</t>
  </si>
  <si>
    <t>Falté a clase el día que @Albert_Rivera nos explicó lo "lamentable" que fue cuando @marianorajoy (o el propio @sanchezcastejon) se reunió con Mohamed VI pero no con los disidentes del Rif "para no molestar a la dictadura". RT @Albert_Rivera: 🇨🇺 Sánchez da plantón a los disidentes cubanos para no molestar a la dictadura castrista, lamentable. Pero no nos sorprende. Esto ocurría hace un mes en el Congreso👇🏻</t>
  </si>
  <si>
    <t>SU Wenli 🎗️</t>
  </si>
  <si>
    <t>Fijaos muy bien cuando Pablo Casado, Albert Rivera , Inés Arrimadas y otros no dejan hablar a los periodistas que los entrevistan. Es ahí donde delatan que les estan pillando en un tema que les pica. RT @PSOE: 🙄 El nuestro está muerto desde hace medio siglo 🙄 El tema de Franco es una cortina de humo 🙄 A mí me pagan por gestionar el presente, no el pasado 🙄 No voy a dedicar ni un euro en desenterrar al dictador Vale, Pablo. Para ti, todo es cosa de la guerra del abuelo. Entendido.</t>
  </si>
  <si>
    <t>https://twitter.com/PSOE/status/1065580657211047942</t>
  </si>
  <si>
    <t>pic.twitter.com/4r430H7TgN</t>
  </si>
  <si>
    <t>No nacionalista. Alguien que cree que el mal gobierno debe penalizarse, y el buen gobierno reconocerse.</t>
  </si>
  <si>
    <t>El Cojo de Lepanto</t>
  </si>
  <si>
    <t>Albert Rivera no se atreve a decir que @vox_es es de extrema derecha para evitar que sus votantes cambien de partido.</t>
  </si>
  <si>
    <t>📺🔜 En breve @Albert_Rivera estará en los @Desayunos_tve para hablar sobre la actualidad política. 📲 ¡Aquí te dejamos el enlace para que puedas verlo #EnDirecto !</t>
  </si>
  <si>
    <t>#JoSócCDR</t>
  </si>
  <si>
    <t>Vuelvo a ser yo misma.</t>
  </si>
  <si>
    <t>Será un honor contar este sábado con Ignacio Gordillo en la concentración de @ESPCiudadana contra los indultos a golpistas y por #EleccionesYa. Uno de los mejores juristas de España y fiscal durante 30 años en la Audiencia Nacional. ¡Os esperamos! 🇪🇸</t>
  </si>
  <si>
    <t>Ramón de York</t>
  </si>
  <si>
    <t>-¿Considera usted señor @Albert_Rivera a VOX como ultraderecha? -No, yo no soy analista político, no juzgo a otros partidos como lo hacen los podemitas chavistas ultraultraizquierdistas comunistas amigos de los golpistas y de Otegui, no me gusta poner etiquetas.</t>
  </si>
  <si>
    <t>https://www.europapress.es/nacional/noticia-rivera-exfiscal-ignacio-gordillo-frente-acto-sabado-madrid-contra-indultos-independentistas-20181122164813.html</t>
  </si>
  <si>
    <t xml:space="preserve">Greenbow, Alabama. </t>
  </si>
  <si>
    <t>Todos lo que escribo lo hago desde la más absoluta y total ignorancia. Segundo premio anual Montgomery Burns por logros destacados en el campo de la Excelencia.</t>
  </si>
  <si>
    <t>Carles</t>
  </si>
  <si>
    <t>Si no condenas el franquismo que eres ?? @CiudadanosCs @PPopular @Albert_Rivera @pablocasado_</t>
  </si>
  <si>
    <t>D.R. Lejarza</t>
  </si>
  <si>
    <t>Si no te gusta lo que deciden los votantes, legislas para que sus votos no valgan nada. #ElFacheríoSensato Albert Rivera propondrá que los nacionalistas tengan un 3% de los votos para entrar en el Congreso  vía @elmundoes</t>
  </si>
  <si>
    <t>Maresme, Catalunya</t>
  </si>
  <si>
    <t>Serem allò que volguem ser! Sedicioso, terrorista, nazi, golpista, todo por querer votar...</t>
  </si>
  <si>
    <t xml:space="preserve">Entre Bilbao y... Bilbao </t>
  </si>
  <si>
    <t>Cualquier parecido con la realidad es mera coincidencia</t>
  </si>
  <si>
    <t>Antoni Manchado</t>
  </si>
  <si>
    <t>#elPSOEalquemeafilié sabe que VOX es un partido de extrema derecha, @Albert_Rivera no</t>
  </si>
  <si>
    <t>Tremending</t>
  </si>
  <si>
    <t>¿Por qué Albert Rivera no se atreve a decir que Vox es extrema derecha? Twitter analiza los motivos</t>
  </si>
  <si>
    <t>ÜT: 39.520388,2.497903</t>
  </si>
  <si>
    <t>Ing. de Teleco. Cooperativista. Exsenador PSOE. Jubilado pero dispuesto a emprender el viaje a Ítaca, si la compañía vale la pena. Mi voz es mía, siempre.</t>
  </si>
  <si>
    <t>http://www.antonimanchado.com</t>
  </si>
  <si>
    <t>Albacete, España</t>
  </si>
  <si>
    <t>El brazo armado de 'Público'. Por @dalequetepego</t>
  </si>
  <si>
    <t>http://tremending.publico.es/</t>
  </si>
  <si>
    <t>Somos Región</t>
  </si>
  <si>
    <t>“Resulta chocante que @PPRMurcia y @CsRegionMurcia firmen en la #RegióndeMurcia un acuerdo presupuestario para 2019, cuando precisamente @pablocasado_ y @Albert_Rivera han tildado los PGE de ilegales e inconstitucionales”. #AlbertoGarre #Presidente #SomosRegión</t>
  </si>
  <si>
    <t>https://pbs.twimg.com/media/Dsl31oHXgAA7zNv.jpg</t>
  </si>
  <si>
    <t>Extremadura Harta</t>
  </si>
  <si>
    <t>Región de Murcia, España</t>
  </si>
  <si>
    <t>Somos Región es un proyecto político regenerador, de centro social y reformista, al servicio de los intereses generales de los ciudadanos de la Región Murcia</t>
  </si>
  <si>
    <t>http://www.somosregion.es</t>
  </si>
  <si>
    <t>Extremadura, España</t>
  </si>
  <si>
    <t>La #opinión de los #ciudadanos de #Extremadura también cuenta. Perfil independiente y plural con verdades aunque sean dolorosas</t>
  </si>
  <si>
    <t>#elPSOEalquemeafilié apostaría y apuesta por subir el SMI, @Albert_Rivera no</t>
  </si>
  <si>
    <t>EstebanCB</t>
  </si>
  <si>
    <t>¿Cómo va a calificar Albert Rivera a VOX como extrema derecha si el programa de su partido es prácticamente idéntico?</t>
  </si>
  <si>
    <t>Cúllar (Granada)</t>
  </si>
  <si>
    <t>Chiara</t>
  </si>
  <si>
    <t>Como seguro que a @Albert_Rivera e @InesArrimadas se les pasa tuitear esto, lo hago yo. Atacadas con pintura una docena de sedes de partidos y entidades independentistas en varias ciudades  vía @eldiarioes</t>
  </si>
  <si>
    <t>https://m.eldiario.es/_31f5688e</t>
  </si>
  <si>
    <t>🤔</t>
  </si>
  <si>
    <t>No hay escenario capaz de acoger la obra dantesca que vivimos. No pierdo el tiempo con aquellos que no saben tuitear sin insultar y/o faltar el respeto.</t>
  </si>
  <si>
    <t>Fops</t>
  </si>
  <si>
    <t>Los 1000 millones de muertos del comunismo, las piedras a @Albert_Rivera en Alsasua, el escupitajo de @gabrielrufian a Borrell, la derecha gestiona mejor y los del @PPopular demócratas de toda la vida...</t>
  </si>
  <si>
    <t>Viralizeed_es</t>
  </si>
  <si>
    <t>Noticia más #viral ahora (ES): Albert Rivera propondrá que los nacionalistas tengan un 3% de los votos par..</t>
  </si>
  <si>
    <t>Cambrils, Baix Cam, p</t>
  </si>
  <si>
    <t>Frommmm North Carolina...at guard...6’6...</t>
  </si>
  <si>
    <t>Analizamos en tiempo real las redes sociales más relevantes para traerte las noticias, imágenes, vídeos y música más virales del mundo http://es.viralizeed.com</t>
  </si>
  <si>
    <t>http://www.es.viralizeed.com</t>
  </si>
  <si>
    <t>Diego</t>
  </si>
  <si>
    <t>Lo bueno de @Albert_Rivera es que ya no disimula RT @La_SER: Albert Rivera evita calificar a Vox como un partido de ultraderecha La entrevista completa del líder de @CiudadanosCs en @HoyPorHoy con @PepaBueno →</t>
  </si>
  <si>
    <t>talafree #NoTTIP⚒</t>
  </si>
  <si>
    <t>- La niña de la curva. - El hombre de las nieves. - El monstruo del lago Ness. - Las piedras a Albert Rivera. - El escupitajo a Borrell. -Democracia</t>
  </si>
  <si>
    <t>Segovia</t>
  </si>
  <si>
    <t>Ex-Twittero. Diego, gallu, tú podrías ser cantante si no fuera por la voz. #TelecoIsSparta</t>
  </si>
  <si>
    <t>Metal Rock Oi Lover Talavera de la Reina 🇸🇻 🇪🇸🇦🇹 &amp; West Yorkshire⚒Uk 🇬🇧</t>
  </si>
  <si>
    <t>http://unmundo-pordelante.blogspot.com.es/</t>
  </si>
  <si>
    <t>Carlos DíazDomínguez</t>
  </si>
  <si>
    <t>★Antídoto★ 🎗🔻</t>
  </si>
  <si>
    <t>Yo de verdad no se de donde se saca la gente de que @Albert_Rivera es un FASCISTA.... 👇👇👇👇👇👇</t>
  </si>
  <si>
    <t>https://pbs.twimg.com/media/DslxMccWkAAhKp8.jpg</t>
  </si>
  <si>
    <t xml:space="preserve">Rep. Independiente Vallekas </t>
  </si>
  <si>
    <t>Quieres identificarme? Tienes un problema... Nací sin carnet VALLEKAS NUESTRO</t>
  </si>
  <si>
    <t>`Entreacto en el Apolo´ es mi séptima novela. Antes escribí `La menorah de Petra´, `Tres colores en Carinhall´...</t>
  </si>
  <si>
    <t>http://www.carlosdiazdominguez.com</t>
  </si>
  <si>
    <t>Los 20 tuits más RTs de @gabrielrufian @josepborrellf @joninarritu @tonicanto1 @beatrizbecerrab @pnique @pablo_iglesias_ @carrizosacarlos @quimtorraipla @rosadiezglez @beatriztalegon @albert_rivera @antoniobanos_ el miércoles 21 de noviembre</t>
  </si>
  <si>
    <t>https://twitter.com/trendinaliaES/timelines/1065487078991884288</t>
  </si>
  <si>
    <t>José</t>
  </si>
  <si>
    <t>Albert Rivera, el de C’s, monta un autobús con “INDULTOS NO”. Poco se acuerda cuando en el 2017 decía que “Montar un autobús no es hacer oposición, es un show” (elPeriódico).</t>
  </si>
  <si>
    <t>francisco</t>
  </si>
  <si>
    <t>CATIBERIC🐾🍁</t>
  </si>
  <si>
    <t>A estos dos señores, se les debía retirar el acta de parlamentarios. Si queremos tener un Parlamento democŕatico, el TOTALITARISMO y la AUSENCIA DE EDUCACIÓN no tienen sitio. @sanchezcastejon @Albert_Rivera @pablocasado_</t>
  </si>
  <si>
    <t>https://pbs.twimg.com/media/DslqjLsXQAAnEM3.jpg</t>
  </si>
  <si>
    <t>cataluña</t>
  </si>
  <si>
    <t>currante</t>
  </si>
  <si>
    <t>Salicornia</t>
  </si>
  <si>
    <t>Albert Rivera propondrá que los nacionalistas tengan un 3% de los votos para entrar en el Congreso | España👏🏻👏🏻👏🏻</t>
  </si>
  <si>
    <t>CATALUÑA con Ñ ...y no hay más que hablar #WhiteWednesdays</t>
  </si>
  <si>
    <t>joan safont</t>
  </si>
  <si>
    <t>Quedara petit un autobus per encabir tantes fotos de fatxes! Los jabatos de la Oje pasean su autobus por Madrid ! No es un banco de sangre. Es de odio y mala leche. Siembran lo que recogerán! @Albert_Rivera @InesArrimadas @carrizosacarlos @GirautaOficiaI</t>
  </si>
  <si>
    <t>https://pbs.twimg.com/media/Dsloo9SXoAACTdN.jpg</t>
  </si>
  <si>
    <t>Catalonia</t>
  </si>
  <si>
    <t>Dissenyador gràfic/ professor de fotografia documental. freelance/ home economist</t>
  </si>
  <si>
    <t>http://joansafont.wordpress.com</t>
  </si>
  <si>
    <t>Los jabatos de la Oje pasean su autobus por Madrid ! No es un banco de sangre. Es de odio y mala leche. Siembran lo que recogerán! @Albert_Rivera @InesArrimadas @carrizosacarlos @GirautaOficiaI</t>
  </si>
  <si>
    <t>https://pbs.twimg.com/media/DsloTTyXgAAO41y.jpg</t>
  </si>
  <si>
    <t>No sea lelo sr @Albert_Rivera , VOX es como su partido , un partido de ultraderecha como el suyo...Una oportunidad perdida para demostrar que usted es algo más listo que el sr.Casado.</t>
  </si>
  <si>
    <t>https://elpais.com/politica/2018/11/21/actualidad/1542795112_974513.amp.html?id_externo_rsoc=TW_CC&amp;__=&amp;__twitter_impression=true</t>
  </si>
  <si>
    <t>Miguel Angel Leiros</t>
  </si>
  <si>
    <t>Ma-duro</t>
  </si>
  <si>
    <t>Yo no soy analista político pero le diria a @Albert_Rivera que no condenar el franquismo es de fachas.</t>
  </si>
  <si>
    <t>SADA.- LA CORUÑA</t>
  </si>
  <si>
    <t>PARA MIS AMIG@S.....youtube.com/watch?v=ZeFT_1…</t>
  </si>
  <si>
    <t>http://multisportsada.blogspot.com/</t>
  </si>
  <si>
    <t>En mi casa</t>
  </si>
  <si>
    <t>Hablo mal y escribo peor, pero si te fijas solo en como escribo te saltaras lo importante, que es lo que digo. PD Los de tabarra no me deis la idem.</t>
  </si>
  <si>
    <t>Más comentados ahora en Derecha/Centro Dcha.: ➀ @gabrielrufian ↑ ➁ @JosPastr ↑ ➂ @sanchezcastejon ↓↓ ➃ @Albert_Rivera ➄ @PSOE ↑ ➅ @JosepBorrellF ↑↑ ➆ @PPopular ↓ ➇ @Alvisepf ↑ ➈ @carrizosacarlos ↑ ➉ @Miotroyo2parte ↑</t>
  </si>
  <si>
    <t>Más influyentes ahora en Derecha/Centro Dcha.: ➀ @JosPastr ↑ ➁ @Albert_Rivera ↓ ➂ @carrizosacarlos ↑ ➃ @Alvisepf ↓ ➄ @Miotroyo2parte ↑ ➅ @FroilLannister ↓ ➆ @ldpsincomplejos ↑ ➇ @Nanchinho ↓ ➈ @rosadiezglez ↓</t>
  </si>
  <si>
    <t>Monnу💜</t>
  </si>
  <si>
    <t>Ay, @Albert_Rivera!!! Pobre cabecita!!! RT @PabloMM: -Señor Rivera, ¿qué opina usted de Podemos? -Extrema izquierda, populistas bolivarianos. -¿Y de ERC y PdeCAT? -Golpistas. -¿Y de VOX? -Mire, yo no soy analista político.</t>
  </si>
  <si>
    <t>https://twitter.com/PabloMM/status/1065234033070739456</t>
  </si>
  <si>
    <t>Moralzarzal, Madrid, España</t>
  </si>
  <si>
    <t>Mujer trabajadora e indignada. Ilusionada con el proyecto de @ahorapodemos y Pablo Iglesias, quien será nuestro mejor Presidente.</t>
  </si>
  <si>
    <t>Más comentados ahora en Derecha/Centro Dcha.: ➀ @sanchezcastejon ↑ ➁ @JosPastr ↑ ➂ @carrizosacarlos ↑ ➃ @gabrielrufian ↓ ➄ @Albert_Rivera ↓ ➅ @InesArrimadas ↑ ➆ @PPopular ↑ ➇ @CristinaSegui_ ↑ ➈ @rosadiezglez ↑</t>
  </si>
  <si>
    <t>Xavier OA</t>
  </si>
  <si>
    <t>Definición de Albert Rivera: DONDE DIJE DIJE, DIGO DIEGO. Fin del misterio.</t>
  </si>
  <si>
    <t>Más influyentes ahora en Derecha/Centro Dcha.: ➀ @JosPastr ↑ ➁ @carrizosacarlos ↑ ➂ @Albert_Rivera ↑↑ ➃ @CristinaSegui_ ↑↑ ➄ @rosadiezglez ↑ ➅ @Alvisepf ↑ ➆ @Nanchinho ↑ ➇ @FroilLannister ↑ ➈ @europapress ↑</t>
  </si>
  <si>
    <t>La Nou de Gaia</t>
  </si>
  <si>
    <t>Viviendo entre 430 habitantes.</t>
  </si>
  <si>
    <t>talanquera</t>
  </si>
  <si>
    <t>Nico el breve</t>
  </si>
  <si>
    <t>Epa @ierrejon (chavista morado), éste mensaje es contigo para que no sigas hablando de lo que NO CONOCES!! En #Venezuela hay mucha hambre!! #España Atención el Sr @Albert_Rivera presidente de @CiudadanosCs : RT @steve_hanke: This sad video shows how dire the hunger crisis is in #Venezuela</t>
  </si>
  <si>
    <t>https://twitter.com/steve_hanke/status/1065304838249029633</t>
  </si>
  <si>
    <t>pic.twitter.com/NDfYES1ukG</t>
  </si>
  <si>
    <t>en la parra y de la parra al guindo.</t>
  </si>
  <si>
    <t>Al Norte del Sur d la 3ra roca</t>
  </si>
  <si>
    <t>Falta poco??... El Bien siempre gana; Paciencia, Fe y Unidad!!... "Lo único que necesita el mal para triunfar es que el hombre bueno no haga nada" Edmund Burke</t>
  </si>
  <si>
    <t>Hay que pedir a @Albert_Rivera que le enseñen un poco de historia. Y además por qué si califica a unos partidos y no lo hace con el fascista Vox? RT @La_SER: Albert Rivera evita calificar a Vox como un partido de ultraderecha La entrevista completa del líder de @CiudadanosCs en @HoyPorHoy con @PepaBueno →</t>
  </si>
  <si>
    <t>Hasta cuándo @Albert_Rivera dirá falsedades? Deje de hablar algo antidemocrático RT @Albert_Rivera: 🎥 Hoy los socios separatistas del PSOE han escupido a España. Mientras Sánchez les promete indultos, nosotros hemos salido a defender a Borrell. ¿Hasta cuándo piensa permitir estas humillaciones al pueblo español? #EleccionesYa @120minutosTM</t>
  </si>
  <si>
    <t>https://twitter.com/Albert_Rivera/status/1065230411448688640</t>
  </si>
  <si>
    <t>https://pbs.twimg.com/media/DshvpkJX4AEZpod.jpg</t>
  </si>
  <si>
    <t>P B Marbe-Malaga</t>
  </si>
  <si>
    <t>Albert Rivera en VI Escuela de Verano DENAES 2012 🌍 Caracas,</t>
  </si>
  <si>
    <t>Creo que la comunidad International ha dejado ir esto muy lejos (la Dictadura) de Maduro.. @Almagro_OEA2015 @marcorubio @beatrizbecerrab @EP_President @Albert_Rivera @pablocasado @mauriciomacri @jairbolsonaro RT @TITORODRIGUEZZ: PROHIBIDO OLVIDAR los tratos crueles e inhumanos de la “guardia nacional” de Maduro a nuestros estudiantes, a propósito de celebrarse hoy el #DiaDelEstudianteUniversitario #21Nov Día Mundial de la Televisión</t>
  </si>
  <si>
    <t>https://youtu.be/V9YYQDqha-Q?fcj79=7524358067</t>
  </si>
  <si>
    <t>https://twitter.com/TITORODRIGUEZZ/status/1065289160985116672</t>
  </si>
  <si>
    <t>Torremolinos, España</t>
  </si>
  <si>
    <t>Me gusta montar en bicicleta con mi gorrito. La vida es bonita si se es libre</t>
  </si>
  <si>
    <t>pic.twitter.com/5YYmKILYtt</t>
  </si>
  <si>
    <t>📣📣JUAN📣📣</t>
  </si>
  <si>
    <t>Ni @albert_rivera ni @pablocasado se pueden definir,porque ellos y sus #Partidos son el mismo reflejo de VOX ...la #ultraderecha rancia,desfasada y senofoga,que estas gentes estan dispuestos a representar. #MasAndalucia #AndaluciaAvanza #SusanaCumple</t>
  </si>
  <si>
    <t>https://www.publico.es/tremending/2018/11/21/por-que-albert-rivera-no-se-atreve-a-decir-que-vox-es-extrema-derecha-twitter-analiza-los-motivos/?utm_source=twitter&amp;utm_medium=social&amp;utm_campaign=publico</t>
  </si>
  <si>
    <t>De vuelta de casi todo,caminando casi a ninguna parte,lo que tenia que hacer lo hice,estoy,que no es poco...repito curso y camino.</t>
  </si>
  <si>
    <t>Deje de usar @Albert_Rivera calificativos. Y deje de querer humillar a los que no le gustan. Si no lo hace, ud debe ser de los totalitarios que sólo ven y quieren lo suyo RT @Albert_Rivera: Sánchez está poniendo el Estado al servicio de los golpistas para poder atrincherarse en La Moncloa. Y purga sin pudor a todo aquel que se oponga a esta humillación nacional. Este es otro escándalo más en los meses de sanchismo en el poder.</t>
  </si>
  <si>
    <t>https://twitter.com/Albert_Rivera/status/1065300407050735618
https://www.elespanol.com/espana/tribunales/20181121/dolores-delgado-fulmina-abogado-no-acusacion-proces/354965404_0.html</t>
  </si>
  <si>
    <t>⛄❄ Selim II ❄⛄ #nonutnovember</t>
  </si>
  <si>
    <t>Estamos hablando de las corbatas de Pablo Iglesias y Albert Rivera jsjsjjsjjs</t>
  </si>
  <si>
    <t>Mentiras y provocaciones no @Albert_Rivera RT @Albert_Rivera: Indultos no, #EleccionesYa .</t>
  </si>
  <si>
    <t>İstanbul, Türkiye</t>
  </si>
  <si>
    <t>Sí</t>
  </si>
  <si>
    <t>https://es.m.wikiquote.org/wiki/Winston_Churchill</t>
  </si>
  <si>
    <t>booH nidoR</t>
  </si>
  <si>
    <t>A ver si le queda claro a la Presidenta y a @Albert_Rivera y sus colegas fachas. RT @gerardotc: Han prohibido decir fascismo en el Congreso. Hacerlo se sigue pudiendo.</t>
  </si>
  <si>
    <t>https://twitter.com/gerardotc/status/1065316070314176512</t>
  </si>
  <si>
    <t>Islas Canarias, España</t>
  </si>
  <si>
    <t>Prefiero causar molestias diciendo la verdad, que causar admiranción diciendo mentiras.</t>
  </si>
  <si>
    <t>Orphen</t>
  </si>
  <si>
    <t>A ver si aprendemos @Albert_Rivera RT @kalimotxa: Que un nazi se muera siempre está bien, pero que lo haga en mitad de un discurso me parece arte.</t>
  </si>
  <si>
    <t>https://twitter.com/kalimotxa/status/1064924687749341185
https://twitter.com/arieshapira1/status/884747826382725120</t>
  </si>
  <si>
    <t>Manresa (Barcelona)</t>
  </si>
  <si>
    <t>Rookie Freelance EN→ES Videogame Localizer &amp; proofreader 07th|Rance|Cosplay|Touhou|Mercury adept|N7|JoJo|Ravenclaw. Sleep peacefully, my most beloved witch.</t>
  </si>
  <si>
    <t>http://curiouscat.me/Orphen</t>
  </si>
  <si>
    <t>TROMPETA..7⏳</t>
  </si>
  <si>
    <t>💥VAYA OSTIÓN 💥Albert RIVERA ⚡️ZURRA⚡️ a RUFIÁN, a SÁNCHEZ y a PABLO IGLESIAS ¡¡3X1!!</t>
  </si>
  <si>
    <t>Fernando FM</t>
  </si>
  <si>
    <t>Usted lo que no tiene es vergüenza sr. @Albert_Rivera . ¿Para cuando va a empezar con lo de construir y proponer? O lo está haciendo de una forma muy rara. RT @ierrejon: Lo mismito que le pasó a Aguado en telemadrid .  Ciudadanos, que le pone etiquetas a todos, ahora tartamudea con VOX. La hidra de Aznar con tres cabezas.. Y venían a ser de centro..</t>
  </si>
  <si>
    <t>https://www.youtube.com/attribution_link?a=OHPfYQkRn5o&amp;u=%2Fwatch%3Fv%3DVn5QOJG3_SM%26feature%3Dshare</t>
  </si>
  <si>
    <t>https://twitter.com/ierrejon/status/1065340958475239425
https://twitter.com/ierrejon/status/1064612835408470016?s=21</t>
  </si>
  <si>
    <t>pic.twitter.com/83YErk68cu</t>
  </si>
  <si>
    <t xml:space="preserve">Barcelona. España </t>
  </si>
  <si>
    <t>Nunca lleves tus mejores pantalones cuando salgas a luchar por la paz y la libertad</t>
  </si>
  <si>
    <t>utrera</t>
  </si>
  <si>
    <t>Ya voy mejor con esto del tuenti, sobre todo desde q lo uso menos!!!</t>
  </si>
  <si>
    <t>Sergio MP</t>
  </si>
  <si>
    <t>Todavia no os enterais de la película, a los andaluces nos preocupan cosas como el paro, la sanidad o la educación, el tema de cataluña como que nos la suda un poco @Albert_Rivera @JuanMarin_Cs #TodosConJuan</t>
  </si>
  <si>
    <t>Coria del Río, España</t>
  </si>
  <si>
    <t>Ser padre es lo mejor que te puede pasar en la vida. Sevillista hasta la médula</t>
  </si>
  <si>
    <t>Koldo</t>
  </si>
  <si>
    <t>Continúan las provocaciones en Altsasu. Continúan los montajes en Altsasu. Todo gracias a los provocadores profesionales que sacan rédito político de ello @Albert_Rivera junto a @vox_es Pura basura #AltsasukoakASKE</t>
  </si>
  <si>
    <t>http://ahotsa.info/edukia/nueva-provocacion-policial-en-altsasu-por-parte-de-guardias-civiles-de-paisano</t>
  </si>
  <si>
    <t>Orgulloso miembro de la clase trabajadora. La vida son dos días, seguro que uno de ellos, graniza!</t>
  </si>
  <si>
    <t>María #nousrepublicans</t>
  </si>
  <si>
    <t>A Amadeus</t>
  </si>
  <si>
    <t>Ayss @Albert_Rivera, un consejo gratuito. Ser un buen político es ofrecer cosas positivas a los ciudadanos para que te voten. Despreciar, insultar, desprestigiar, amenazar, etc.. a la oposición sin hacer nada más, sólo muestra lo inepto como político y mala persona que eres. RT @Albert_Rivera: Sánchez no ve rebelión, no ve escupitajos, no ve insultos... solo ve indultos para sus socios separatistas. Vamos a tener que poner el VAR y el ojo de halcón para que se entere de lo que son capaces de hacer sus aliados contra España.</t>
  </si>
  <si>
    <t>https://twitter.com/albert_rivera/status/1065268615497293826
https://twitter.com/europapress/status/1065197352049356801</t>
  </si>
  <si>
    <t>“El secreto del cambio es enfocar toda tu energía, no en la lucha contra lo viejo, sino en la construcción de lo nuevo” Sócrates</t>
  </si>
  <si>
    <t>http://www.nousrepublicans.com</t>
  </si>
  <si>
    <t>MVG_Huesca</t>
  </si>
  <si>
    <t>Parece bastante lógico. "Albert Rivera propondrá que los nacionalistas tengan un 3% de los votos para entrar en el Congreso".  vía @elmundoes</t>
  </si>
  <si>
    <t>Revolución Social Ya</t>
  </si>
  <si>
    <t>Una idea... Y si cogemos lo mejor para el pueblo de cada partido?? Lo mismo así funciona mejor la cosa... Ah no!! Calla! Qué sería lo lógico y normal... @sanchezcastejon @Pablo_Iglesias_ @pablocasado_ @agarzon @Albert_Rivera</t>
  </si>
  <si>
    <t>Vivo en un país de pandereta, donde nos roban y nos obligan a agachar la cabeza, SE ACABO!!</t>
  </si>
  <si>
    <t>ciudadano del mundo</t>
  </si>
  <si>
    <t>SEREMOS REVOLUCIÓN!! Una oda al luchar contra la corrupción, las injusticias, se acabó mirar para otro lado...SIN PARTIDO, SIN COLOR...</t>
  </si>
  <si>
    <t>Monina</t>
  </si>
  <si>
    <t>Que dirán la sociedad protectora de animales.? Que dirá la @UNESCO_es @UNESCOMexico @UNESCOQuito @UNESCO @EspUNESCO Que dirá @greenpeace_esp @GreenpeaceArg @greenpeacemx Que dirán los políticos @beatrizbecerrab @pablocasado @AndresPastrana @Albert_Rivera @jairbolsonaro @IvanDuque RT @MichelPesquera: Esta masacre sucede en España... ¿Cuándo vamos a entender que nos estamos terminando el mundo? ¿Porqué no entendemos que todos habitamos este planeta? Tenemos que compartir pacíficamente este espacio que nos tocó compartir!</t>
  </si>
  <si>
    <t>José M. Morey</t>
  </si>
  <si>
    <t>https://twitter.com/MichelPesquera/status/1065241714980519936</t>
  </si>
  <si>
    <t>pic.twitter.com/IzUM3vmLJt</t>
  </si>
  <si>
    <t>Consultoría de Servicios Empresariales, aficionado del Mallorca y Real Madrid, y mejor estoy centrado que en un extremo.</t>
  </si>
  <si>
    <t>Pablo Galán García</t>
  </si>
  <si>
    <t>Un fascista @Albert_Rivera se balanceaba sobre sus escaño del Congreso, cómo veía que no sea caído fue a llamar a @pablocasado_ , dos fascistas se balanceaban sobre su escaño del Congreso, cómo veía que no se caían fueron a llamar a @Santi_ABASCAL...</t>
  </si>
  <si>
    <t>ALFONSO</t>
  </si>
  <si>
    <t>Para Albert Rivera, si una mujer alquila su vagina 20 minutos es una prostituta, pero si esa misma mujer alquila su útero 9 meses (gestación subrogada) es una ciudadana ejemplar comprometida con los avances de la ciencia. Hay argumentos muy cínicos y ya después está esto.</t>
  </si>
  <si>
    <t>Valencia - Soria</t>
  </si>
  <si>
    <t>Dormilón profesional, loco de la música, librepensador y fallero. Campanero de Valencia, Levantinista. Enamorado de Soria. Siempre @LevanteUD y @cdnumancia.</t>
  </si>
  <si>
    <t>http://Instagram.com/noquemecanso</t>
  </si>
  <si>
    <t>MD, no, gracias.</t>
  </si>
  <si>
    <t>Estoy en esa edad tan peligrosa en la que el cigarrillo de después siempre me lo fumo antes, por si acaso.</t>
  </si>
  <si>
    <t>http://t52m.blogspot.com.es</t>
  </si>
  <si>
    <t>Ponga el VAR para ver @Albert_Rivera lo que no se ve en las imágenes RT @Albert_Rivera: Sánchez no ve rebelión, no ve escupitajos, no ve insultos... solo ve indultos para sus socios separatistas. Vamos a tener que poner el VAR y el ojo de halcón para que se entere de lo que son capaces de hacer sus aliados contra España.</t>
  </si>
  <si>
    <t>https://twitter.com/Albert_Rivera/status/1065268615497293826
https://twitter.com/europapress/status/1065197352049356801</t>
  </si>
  <si>
    <t>Que pena un gran país y tener un pequeño presidente. Pronto Albert Rivera hará de nuevo una España dónde cabemos tod@s #AhoraSiCiudadanos 💪💪🍊🍊</t>
  </si>
  <si>
    <t>https://www.facebook.com/100000119240370/posts/2735694356444512/</t>
  </si>
  <si>
    <t>Elpa Jarraco</t>
  </si>
  <si>
    <t>Lo de @Albert_Rivera en el baño del hemiciclo sí que son tiros y no los Tejero.</t>
  </si>
  <si>
    <t>Dicen que me parezco a Benicio del todo.</t>
  </si>
  <si>
    <t>curro</t>
  </si>
  <si>
    <t>Me imagino a @Albert_Rivera saliendo corriendo al baño cada vez que @gabrielrufian les recuerde a los de @CiudadanosCs los "tiros" del hemiciclo.</t>
  </si>
  <si>
    <t>https://elpais.com/politica/2018/11/21/actualidad/1542812383_600299.html</t>
  </si>
  <si>
    <t>Matsi ♀️</t>
  </si>
  <si>
    <t>Luego os ofendéis cuando os llaman fascistas. @pablocasado_ @Albert_Rivera #Fascistas</t>
  </si>
  <si>
    <t>Gerard Gómez 🎗</t>
  </si>
  <si>
    <t>"Si alguien quiere y busca diálogo, ¿qué tipo de diálogo espera si no se puede ni visitar a los presos políticos? No habrá diálogo posible si los presos políticos no están en la calle". Avui he acabat la meva intervenció al ple amb una cita d'Albert Rivera. Crec que és encertada.</t>
  </si>
  <si>
    <t>https://pbs.twimg.com/media/Dsj8xwfWsAMdQLE.jpg</t>
  </si>
  <si>
    <t>Atea, feminista, anticapitalista, antifascista, ecologista, animalista y republicana.</t>
  </si>
  <si>
    <t>Barcelona, Països Catalans</t>
  </si>
  <si>
    <t>Periodista. Aprenent dia a dia i fent camí, perquè només caminant avancem. Diputat al Parlament de Catalunya.</t>
  </si>
  <si>
    <t>http://gerardgomezf.wordpress.com</t>
  </si>
  <si>
    <t>Rubén</t>
  </si>
  <si>
    <t>#TodosConJuan yo lo que no entiendo, es si @Albert_Rivera dice que no es analista político, y no puede calificar a VOX de extrema derecha... ¿Por qué se dedica a calificar a todos los otros partidos? 🤦</t>
  </si>
  <si>
    <t>pic.twitter.com/X5F7lfX9yJ</t>
  </si>
  <si>
    <t>Estudiando Ciencia Política. Menos bandera, más defender instituciones limpias. Deseando una sociedad más justa y solidaria. Respeto a la #MemoriaHistorica.</t>
  </si>
  <si>
    <t>https://liverdades.com</t>
  </si>
  <si>
    <t>Dedicada a Albert Rivera. Por el juego que nos da, no penséis malamente gentuza!!! #DiadelaMusica J.J. Cale - Cocaine  vía @YouTube</t>
  </si>
  <si>
    <t>Jesús Javier Pinar</t>
  </si>
  <si>
    <t>¿Definición de Vox señor @Albert_Rivera ? RT @escarvasopas: Si le dices a Rivera que defina a Vox te dice que el no es analista político. Pero si le dices que defina a podemos, de repente aparece un doctor en ciencias políticas que compara a podemos con los gobiernos mas esperpénticos del planeta.</t>
  </si>
  <si>
    <t>https://youtu.be/KWmD_HcOcfU</t>
  </si>
  <si>
    <t>https://twitter.com/escarvasopas/status/1065245285755088896</t>
  </si>
  <si>
    <t>Villanueva de los Infantes</t>
  </si>
  <si>
    <t>Trabajando en marketing y CMO. Máster Marketing y CC y ADE. Publicidad y periodismo como aficiones. Buscando nuevos retos profesionales.</t>
  </si>
  <si>
    <t>guillermosevilla fc</t>
  </si>
  <si>
    <t>MaríaBeatle</t>
  </si>
  <si>
    <t>A @Albert_Rivera le viene muy bien que lo llamen "fascista". Eso le da la oportunidad de hacerse la víctima de cara a los defensores de la "unidad de España" porque genera más odio hacia los independentistas, que él rentabiliza en votos.</t>
  </si>
  <si>
    <t>Mi corazón, en Liverpool</t>
  </si>
  <si>
    <t>🎵Los Beatles son la mejor cura del alma.🎶 La indiferencia es el peso muerto de la historia. Gramsci -No DMs-</t>
  </si>
  <si>
    <t>https://youtu.be/LmQ_3WODKOU</t>
  </si>
  <si>
    <t>Mark  🎗</t>
  </si>
  <si>
    <t>Los pancatalanistas sociolistos filoetarras han MANIPULADO nuestra televisión ESPAÑOLA y han cantado en CATALAN en PRIME TIME. BASTA YA. ARTICULO 155 YA!!!!! 🇪🇸🇪🇸🇪🇸 @voxjovenes @PPopular @ciudadanos_cs @Albert_Rivera @InesArrimadas @pablocasado_ #LaEspanaViva #OT18Gala9</t>
  </si>
  <si>
    <t>O. García</t>
  </si>
  <si>
    <t>Soy yo el único que piensa que si ponemos el VAR en el Congreso se acabarían los peoblemas?#rufiantuapellidosequedacorto @sanchezcastejon @Pablo_Iglesias_ @Albert_Rivera @pablocasado_</t>
  </si>
  <si>
    <t>León, España</t>
  </si>
  <si>
    <t>🔛 Lo unico importante es respirar.. ▶️ RRHH 🆗 Foodie 🆕. Healty life</t>
  </si>
  <si>
    <t>El Pleyadiano</t>
  </si>
  <si>
    <t>Yo me pregunto y el derecho a la imagen de @junqueras y de @KRLS? Puede usar ese partido #NeoFascista llamado @CiudadanosCs la imágenes personales de dos líderes políticos contrarios en un autobús? Podría yo usar la imagen de @Albert_Rivera en un autobús antifascista? Si?</t>
  </si>
  <si>
    <t>https://pbs.twimg.com/media/Dsj28eUWoAAeXSz.jpg</t>
  </si>
  <si>
    <t>Manuel Ford Álvarez</t>
  </si>
  <si>
    <t>Un presentador de TV3 insinúa que Albert Rivera se droga y Ciudadanos responde de forma insólita  vía @columna_cero</t>
  </si>
  <si>
    <t>https://columnacero.com/espana/17848/un-presentador-de-tv3-insinua-que-albert-rivera-se-droga-y-ciudadanos-responde-d/</t>
  </si>
  <si>
    <t>Las Pleyades</t>
  </si>
  <si>
    <t>✨🖖 Terrícolas, me tenéis preocupado. Cuando vais a crecer? Si llego a saber esto no me presento voluntario para bajar. Supremacista anti-reptiliano. 🦖🐊🦕🌪</t>
  </si>
  <si>
    <t>Bizkaia, País Vasco</t>
  </si>
  <si>
    <t>Ricardo Belenguer 💯</t>
  </si>
  <si>
    <t>No hay personas más detestable en la política que @Albert_Rivera, y los hay muy chungos. RT @La_SER: Albert Rivera evita calificar a Vox como un partido de ultraderecha La entrevista completa del líder de @CiudadanosCs en @HoyPorHoy con @PepaBueno →</t>
  </si>
  <si>
    <t>@BProfundidad • VCF, WHU, ACF y PSC • Antifasiszta</t>
  </si>
  <si>
    <t>Almudena Alonso🇪🇸🇳🇱</t>
  </si>
  <si>
    <t>Me parece estupendo. Eso es lo que queremos todos. Albert Rivera propondrá que los nacionalistas tengan un 3% de los votos para entrar en el Congreso @elmundoes</t>
  </si>
  <si>
    <t>Fabio Muñoz</t>
  </si>
  <si>
    <t>🙄🙄🤔 Tweet from @CiudadanosCs: 🍊 @Albert_Rivera "A nosotros se nos da mejor trabajar que dar vueltas en autobuses, y los españoles nos pagan para eso" #PolíticaLocalCs  RT @CiudadanosCs: 🚌🇪🇸 El autobús de @ESPCiudadana ha estado en el @Congreso_Es para repartir información sobre la manifestación "STOP Sánchez, Elecciones ya". ❌ ¡Digamos NO a los indultos! 📸 Te dejamos aquí unas fotos del momento.</t>
  </si>
  <si>
    <t>http://www.elmundo.es/espana/2018/11/22/5bf6a067e5fdea356f8b4633.html</t>
  </si>
  <si>
    <t>https://twitter.com/CiudadanosCs/status/1065369137474609152</t>
  </si>
  <si>
    <t>https://pbs.twimg.com/media/DAvxIfEXYAACeyB.jpg
https://pbs.twimg.com/media/DscP8mxWoAE_lk8.jpg</t>
  </si>
  <si>
    <t>Amsterdam, The Netherlands</t>
  </si>
  <si>
    <t>Almudena´s view. Foreign Politics Lab. Classic liberal. Freedom and civil rights. Follow me at http://Almudenas.website</t>
  </si>
  <si>
    <t>http://almudenas.website</t>
  </si>
  <si>
    <t>El destino suele estar a la vuelta de la esquina. Pero lo que no hace es visitas a domicilio. Hay que ir a por él.</t>
  </si>
  <si>
    <t>Mario LM</t>
  </si>
  <si>
    <t>Señor @Albert_Rivera: para no ser usted analista politico para denominar a VOX d una u otra manera, en casos como éste se le da de perlas. Sabe distinguir que usted no es nacionalista, y que otros son supremacistas. Si llega a ser un poco mas de derechas, se amputa la mano zurda RT @Albert_Rivera: El supremacista Torra amenaza con denunciar a @JuanMarin_Cs por decirle la verdad: que es un racista que insulta a todos los españoles que no somos nacionalistas. Valiente y claro, Juan, tienes todo mi apoyo 💪🏼🍊 #TodosConJuan</t>
  </si>
  <si>
    <t>https://twitter.com/Albert_Rivera/status/1065311816883085314</t>
  </si>
  <si>
    <t>Fuenlabrada</t>
  </si>
  <si>
    <t>Maraton Madrid 2018. Medio maratón Madrid 2015/16/17/18, Getafe 2017/18, Fuenlabrada 2018. Camino de Santiago Frances y Portugués</t>
  </si>
  <si>
    <t>La Brújula</t>
  </si>
  <si>
    <t>"@pablocasado_ y @Albert_Rivera solo se dedican a crispar porque están frustrados. Uno porque no logra librarse de la rémora de la corrupción y otro porque no protagonizó la moción de censura": @chemacrespo_ #LaBrújulaConJuanraLucas</t>
  </si>
  <si>
    <t>https://pbs.twimg.com/media/DsjzwxNXgAAuyIb.jpg</t>
  </si>
  <si>
    <t>La Brújula de Onda Cero, información y análisis de 20.00 a 23.30 horas. Con @JuanraLucas . Déjanos un mensaje de audio en el 608 962 492.</t>
  </si>
  <si>
    <t>http://www.ondacero.es/programas/la-brujula/</t>
  </si>
  <si>
    <t>Alberto Cuevas</t>
  </si>
  <si>
    <t>Es hora de volver a sacar el autobús a pasear @Albert_Rivera #yElParlamentoPaCuando</t>
  </si>
  <si>
    <t>https://pbs.twimg.com/media/DsjzbAVW0AI8YgD.jpg</t>
  </si>
  <si>
    <t>Francesc 🇪🇸🇪🇺</t>
  </si>
  <si>
    <t>Albert Rivera propondrá que los nacionalistas tengan un 3% de los votos para entrar en el Congreso. Bieennnnnn!! @elmundoes</t>
  </si>
  <si>
    <t>Abogado y Máster en Asesoría Fiscal. 1992 - Vigo 👣 Padova - Italia</t>
  </si>
  <si>
    <t>ESPAÑA Cataluña Barcelona</t>
  </si>
  <si>
    <t>Creo en la Unidad de España y que juntos siempre conseguiremos más que separados. Y esta claro que no aprendemos de nuestros errores.</t>
  </si>
  <si>
    <t>https://mobile.twitter.com/fgbfrancisco</t>
  </si>
  <si>
    <t>Alo123probando</t>
  </si>
  <si>
    <t>Ahora @Albert_Rivera @InesArrimadas @CiudadanosCs y demás gente que odia a los catalanes, que harán que se va a cantar en catalán en #OT18Gala9 ??</t>
  </si>
  <si>
    <t>Vlasov</t>
  </si>
  <si>
    <t>Madrid-España</t>
  </si>
  <si>
    <t>Médico de Madrid</t>
  </si>
  <si>
    <t>Entre Praga y Lídice</t>
  </si>
  <si>
    <t>Blog contra los desmanes, abusos, nepotismos y corrupciones acaecidos bajo la responsabilidad de gobierno de la Junta de Andalucía</t>
  </si>
  <si>
    <t>http://nosfelicespocos.blogspot.com.es/</t>
  </si>
  <si>
    <t>Danidovich de Cadizgrado☭🎗</t>
  </si>
  <si>
    <t>Entonces, @Albert_Rivera, Podemos es de extrema izquierda y lo repiten hasta la saciedad, pero cuando te preguntan por VOX, "no, yo no me dedico a catalogar a otras formaciones". Ahá.</t>
  </si>
  <si>
    <t>Francia</t>
  </si>
  <si>
    <t>El mundo es como aparece ante mis cinco sentidos, y ante los tuyos que son las orillas de los míos. #MiguelHernández 🌹 Hago hilos de Historia. Antifascista✊</t>
  </si>
  <si>
    <t>Michael Onio</t>
  </si>
  <si>
    <t>Hoy me ha dado verdadera vergüenza ver a los representantes de la soberanía nacional en el Congreso. Lamentable. Los ciudadanos estamos hartos de sus "y tú más", hagan algo positivo y pónganse de acuerdo. Entiéndase @pablocasado_ @sanchezcastejon @Albert_Rivera @Pablo_Iglesias_</t>
  </si>
  <si>
    <t>Diego Garzón 🇪🇺</t>
  </si>
  <si>
    <t>Málaga, Andalucía (España)</t>
  </si>
  <si>
    <t>¡APOYO A LAS FCSE! Para que triunfe el mal, basta que los hombres de bien no hagan nada. (No sigo a todo el que me siga).</t>
  </si>
  <si>
    <t>Ávila, Spain</t>
  </si>
  <si>
    <t>Candidato de @CiudadanosCs por Ávila al Congreso de los Diputados. Funcionario del Parlamento Europeo.</t>
  </si>
  <si>
    <t>Otro que ve cosas que no suceden como las piedras que le tiraron a @Albert_Rivera en Alsasu. RT @angelfontcatal1: Hoy José Borrell ha decidido jugársela y mantener que su palabra vale más que todas las imágenes del mundo mundial que demuestran que ha mentido No dimitirá por mentiroso pero debería hacerlo por estúpido</t>
  </si>
  <si>
    <t>https://twitter.com/angelfontcatal1/status/1065319583165423617
https://twitter.com/24h_tve/status/1065221450926297089?s=19</t>
  </si>
  <si>
    <t>numeromil</t>
  </si>
  <si>
    <t>A ver, @Albert_Rivera si quieres ver a auténticos golpistas, solo tienes que asistir a la misa de Franco. Y EN CARNE Y HUESO.</t>
  </si>
  <si>
    <t>Licenciado Ingeniería Aeroespacial Arqueología y Medicina Legal. Máster en Cirugía Láser, Robótica y Gimnasia Acrobática. A la espera de lo que digan los jueces</t>
  </si>
  <si>
    <t>Y @Albert_Rivera continúa con sus fakes. RT @Albert_Rivera: El supremacista Torra amenaza con denunciar a @JuanMarin_Cs por decirle la verdad: que es un racista que insulta a todos los españoles que no somos nacionalistas. Valiente y claro, Juan, tienes todo mi apoyo 💪🏼🍊 #TodosConJuan</t>
  </si>
  <si>
    <t>Jesus Garrido</t>
  </si>
  <si>
    <t>Teresa Fuentelsaz</t>
  </si>
  <si>
    <t>Que pena que no tengas otros argumentos Eres el campeón de la miseria moral @Albert_Rivera RT @Albert_Rivera: Indultos no, #EleccionesYa .</t>
  </si>
  <si>
    <t>Madrileño de nacimiento,Alcarreño de corazón y muy agradecido a El Campello y Alicante por su adopción ,Concejal C's El Campello ,</t>
  </si>
  <si>
    <t>https://twitter.com/albert_rivera/status/1064931881949511681
https://www.elespanol.com/espana/politica/20181120/ciudadanos-saca-tramabus-sanchez-indultos-no-elecciones/354715424_0.html</t>
  </si>
  <si>
    <t>Metgessa Anestesioleg, Hospital de Bellvitge Convençuda que és a les nostres mans salvar la sanitat publica</t>
  </si>
  <si>
    <t>Que vergüenza y asco dais tod@s #comisariaaluche #asilopolitico #DDHH @sanchezcastejon @pablocasado @Albert_Rivera @Pablo_Iglesias @agarzon</t>
  </si>
  <si>
    <t>CsParres</t>
  </si>
  <si>
    <t>📽️ Sánchez no responde a si indultará a los golpistas o no... ya lo hacen por él Iceta, Cunillera y su Ministra de justicia Dolores Delgado. #STOPIndultos @Albert_Rivera</t>
  </si>
  <si>
    <t>Y si Albert Rivera presenta una moción de censura....O si llega a algunos acuerdos sobre lo pactado #PSOE - #Podemos ... O sigue dando #poder al soberanismo con sus #Ciudadanos...</t>
  </si>
  <si>
    <t>pic.twitter.com/m7iMIS5ISP</t>
  </si>
  <si>
    <t>https://pbs.twimg.com/media/Dsn0Mj3WoAEm-A-.jpg</t>
  </si>
  <si>
    <t>Guadalupe Castillo</t>
  </si>
  <si>
    <t>En #Andalucía llevábamos 3 años de estabilidad y @Albert_Rivera entró en pánico porque quería medirse con @pablocasado_ para representar la derecha @JuanMarin_Cs pasó de decir que @susanadiaz era de fiar a forzar la necesidad de convocar elecciones #LaBrujulaConSusanaDíaz</t>
  </si>
  <si>
    <t>Almeriense residente en Granada. Consultora de organización y comunicación (GCG Consultores) y Auditora. 💯 % PSOE.</t>
  </si>
  <si>
    <t>http://www.gcgconsultores.com</t>
  </si>
  <si>
    <t>Joan Mena Arca</t>
  </si>
  <si>
    <t>Oye @Albert_Rivera te acuerdas cuando os levantasteis y os fuisteis del Parlament para no tener que condenar al franquismo? Hoy os habéis superado y lo habéis apoyado con vuestra abstención en el Senado!</t>
  </si>
  <si>
    <t>https://pbs.twimg.com/media/DsjqCFZWkAIXFsu.jpg</t>
  </si>
  <si>
    <t>Sabadell</t>
  </si>
  <si>
    <t>El primer deber de una persona es pensar por sí misma. Sabadell. Profe interí, fent de diputat d'@encomu_podem CanalTelegram: https://t.me/joan_mena 🏳️‍🌈</t>
  </si>
  <si>
    <t>http://www.joanmena.cat</t>
  </si>
  <si>
    <t>.@susanadiaz “C’s rompió el pacto cuando @Albert_Rivera entró en pánico” #LaBrujulaConSusanaDíaz</t>
  </si>
  <si>
    <t>Alerta Nacional</t>
  </si>
  <si>
    <t>Albert Rivera: “A Sánchez se le ha ido de las manos el monstruo de Frankenstein que construyó con Rufián, Iglesias, Torra y Bildu”</t>
  </si>
  <si>
    <t>Analista senior de sistemas informáticos. Peñista de fútbol los domingos bien temprano. Mi principios: libertad, igualdad, solidaridad y justicia social</t>
  </si>
  <si>
    <t>https://www.alertanacional.es/albert-rivera-a-sanchez-se-le-ha-ido-de-las-manos-el-monstruo-de-frankenstein-que-construyo-con-rufian-iglesias-torra-y-bildu/</t>
  </si>
  <si>
    <t>https://pbs.twimg.com/media/Dsn0Q1bU4AQvZoB.jpg</t>
  </si>
  <si>
    <t>Adrift Barrow</t>
  </si>
  <si>
    <t>Hola @Albert_Rivera acabo de ver a Godzila encima de Pegaso luchando contra un destructor imperial pilotado por ewoks! Si no me crees estás contra España. Tú mismo.</t>
  </si>
  <si>
    <t>https://www.alertanacional.es</t>
  </si>
  <si>
    <t>Dos no discuten si uno tiene una motosierra.</t>
  </si>
  <si>
    <t>Fran Martín Cs</t>
  </si>
  <si>
    <t>🚨🚨🚨🚨🚨🚨 💥VAYA OSTIÓN 💥Albert RIVERA ⚡️ZURRA⚡️ a RUFIÁN, a SÁNCHEZ y a PABLO IGLE...  vía @YouTube</t>
  </si>
  <si>
    <t>#SusanaDíazEnOndaCero: "@Albert_Rivera quería convertir Andalucía en un batalla campal con una pelea de gallos con @pablocasado_ para ver quién lidera la derecha" 📻</t>
  </si>
  <si>
    <t>http://ondacero.es/directo/</t>
  </si>
  <si>
    <t>https://pbs.twimg.com/media/Dsjo6TBXcAcf-nM.jpg</t>
  </si>
  <si>
    <t>Extremadura, España 🍊🇪🇸🇦🇹</t>
  </si>
  <si>
    <t>Tecnico en prevención de riesgos laborales , Madrileño de toda la vida, residiendo temporalmente en Cáceres y sin olvidar los 2 años increíbles en Sevilla. Cs🍊</t>
  </si>
  <si>
    <t>AdrianIlie</t>
  </si>
  <si>
    <t>No os da vergüenza lo q pasa en el congreso? En teoría deberíais ser un ejemplo pero estáis muy lejos de eso @sanchezcastejon @Pablo_Iglesias_ @pablocasado_ @Albert_Rivera @gabrielrufian y demás #song #escupitajo</t>
  </si>
  <si>
    <t>piragüista e ingeniero</t>
  </si>
  <si>
    <t>Yo me pregunto y el derecho a la imagen de @junqueras y de @KRLS? Puede usar ese partido #NeoFascista llamado @CiudadanosCs la imágenes personales de dos líderes políticos contrarios en un autobús? Podría yo usar la imagen de @Albert_Rivera en un autobús antifascista? Ehh? RT @mta1966: "Ciudadanos": el fascismo en movimiento. Esta gente son una mierda. ( En el vehículo se ve una fotografía del vicepresidente Oriol Junqueras risueño, y también una foto del presidente en el exilio Carles Puigdemont, acompañadas del mensaje "Indultos no".)</t>
  </si>
  <si>
    <t>https://twitter.com/mta1966/status/1065132279750627328
https://www.elnacional.cat/es/politica/autocar-cs-madrid-indulto-presos_326799_102_amp.html?__twitter_impression=true</t>
  </si>
  <si>
    <t>Atticus Finch</t>
  </si>
  <si>
    <t>Esta es la verdadera reforma constitucional que necesita el pais. Contad con mi apoyo para ello @CiudadanosCs Albert Rivera propondrá que los nacionalistas tengan un 3% de los votos para entrar en el Congreso  vía @elmundoes</t>
  </si>
  <si>
    <t>Moralidad y Tolerancia</t>
  </si>
  <si>
    <t>.@Albert_Rivera acusa a Sánchez de hacer 'una purga' al relevar al abogado del Estado en la causa del ‘procés’, y pide la comparecencia de la ministra de Justicia. “Otro escándalo más en los meses de 'sanchismo' en el poder… al servicio de los golpistas”.</t>
  </si>
  <si>
    <t>LUQUENYO</t>
  </si>
  <si>
    <t>https://okdiario.com/espana/2018/11/21/rivera-acusa-sanchez-poner-estado-servicio-golpistas-purga-bal-3377533</t>
  </si>
  <si>
    <t>No soy un perdedor, pero las personas de izquierda siempre nos toca perder,.Adoro tanto la independencia,como aborrezco a los independentistas. Arribistas, etc.</t>
  </si>
  <si>
    <t>Eva</t>
  </si>
  <si>
    <t>Seguimos esperando que @CiudadanosCs aplique su código ético a @Albert_Rivera. Aunque visto lo visto, lo que menos hay en Cs es #ética.</t>
  </si>
  <si>
    <t>Jaime Capó Bonet</t>
  </si>
  <si>
    <t>Totalmente de acuerdo. Albert Rivera propondrá que los nacionalistas tengan un 3% de los votos para entrar en el Congreso  vía @elmundoes</t>
  </si>
  <si>
    <t>D'un altre món.</t>
  </si>
  <si>
    <t>Mallorca</t>
  </si>
  <si>
    <t>Más comentados hoy en Derecha/Centro Dcha.: ➀ @sanchezcastejon ↑ ➁ @gabrielrufian ↓ ➂ @Albert_Rivera ↑ ➃ @JosPastr ↓ ➄ @PSOE ↓ ➅ @PPopular ↑ ➆ @carrizosacarlos ↑ ➇ @Alvisepf ↑↑ ➈ @pepito_garca ↑ ➉ @susanadiaz ↑</t>
  </si>
  <si>
    <t>https://pbs.twimg.com/media/DsjlXIjXQAA-kqa.jpg</t>
  </si>
  <si>
    <t>Más influyentes hoy en Derecha/Centro Dcha.: ➀ @JosPastr ↓ ➁ @Albert_Rivera ↓ ➂ @carrizosacarlos ↑ ➃ @Alvisepf ↑↑ ➄ @pepito_garca ↑ ➅ @FroilLannister ↑↑ ➆ @alhucema66 ↑ ➇ @Nanchinho ↑ ➈ @rosadiezglez ↑ ➉ @Anonymus_ES ↓</t>
  </si>
  <si>
    <t>Gustavo Ugarte</t>
  </si>
  <si>
    <t>Reixa dijo q se durmió al volante mientras escuchaba la sesión de investidura a Albert Rivera jajajajaja 👏👏 @Juliaenlaonda</t>
  </si>
  <si>
    <t>https://pbs.twimg.com/media/DsjlIrSWkAEXGwo.jpg</t>
  </si>
  <si>
    <t>Garmisch-Partenkirchen, Aleman</t>
  </si>
  <si>
    <t>marisabidilla de twitter</t>
  </si>
  <si>
    <t>Todos habéis visto lo que le molesta a @Albert_Rivera que le llamen fascista... Como a mí que me llamen profesor.</t>
  </si>
  <si>
    <t>K_B_Zon</t>
  </si>
  <si>
    <t>Ver la cara de casi vergüenza ajena de @Albert_Rivera mientras los periodistas le hacen un mamiblú, habla bien a las claras de la degradación y perversión de estos fariseos de la desinformación. Qué asco me ha dado, y recién cenado. RT @grancocolio: Ayudo a difundir este interesante vídeo de Spanish Revolutión donde explica bien clarito, en manos de quien está los medios de comunicación españoles.</t>
  </si>
  <si>
    <t>CRITICO E INDOMITO.</t>
  </si>
  <si>
    <t>Albert Rivera: "A Sánchez se le ha ido de las manos el monstruo de Frankenstein que construyó con Rufián, Iglesias, Torra y Bildu"</t>
  </si>
  <si>
    <t>https://latribunadelpaisvasco.com/art/10045/albert-rivera-a-sanchez-se-le-ha-ido-de-las-manos-el-monstruo-de-frankenstein-que-construyo-con-rufian-iglesias-torra-y-bildu</t>
  </si>
  <si>
    <t>Soy un joven entre 49 y 51 años. El idiota grita, no opina. Las preguntas estúpidas no existen, existe la gente estúpida. Cazador de fachas.</t>
  </si>
  <si>
    <t>https://elchesemueve.com</t>
  </si>
  <si>
    <t>OPPIDUM NUMANCIA</t>
  </si>
  <si>
    <t>Celtibero.Tribu Arevacos.Republicano. Jacobino.Agnostico.Ultraconservador..Leal.Valiente.Decente.----------------</t>
  </si>
  <si>
    <t>17 mil 300 tweets de #TodosConJuan porque es 1tío estupendo y por lo que defiende es de justicia. Frente a los totalitarios, la sencillez abrumadora de la razón Gracias @JuanMarin_Cs por ser como eres tan noble y leal. Orgullo de nuestro partido que @Albert_Rivera está haciendo🍊</t>
  </si>
  <si>
    <t>pic.twitter.com/0MDPTJip5Y</t>
  </si>
  <si>
    <t>Mª Carmen</t>
  </si>
  <si>
    <t>Ruy González de Clavijo 🇪🇸</t>
  </si>
  <si>
    <t>En España con una ley electoral injusta gobierna una minoría (Bildu) sobre la mayoría (demócratas) En EEUU con una ley electoral como la Española, seguirían con el Ku Klux Klan. ZPedro Sánchez nos están llevando a una dictadura. Despierten @Albert_Rivera @pablocasado_ YA. RT @rumbopropio: @carlesenric El VAR lo confirma: ha existido falta... de educación. 📽️👇🏼💦</t>
  </si>
  <si>
    <t>https://twitter.com/rumbopropio/status/1065189996892688384</t>
  </si>
  <si>
    <t>pic.twitter.com/UFqjqeavDV</t>
  </si>
  <si>
    <t>Humor</t>
  </si>
  <si>
    <t>http://youtu.be/lvoWuhjjAUg 🇪🇸</t>
  </si>
  <si>
    <t>Ciudadanos Grijota</t>
  </si>
  <si>
    <t>Alberto Blanch</t>
  </si>
  <si>
    <t>Oye @Albert_Rivera que aquí en la prensa Holandesa dicen que Vox es un partido de extrema derecha. Qué locos, eh?</t>
  </si>
  <si>
    <t>https://pbs.twimg.com/media/Dsjeus9XoAYYxaq.jpg</t>
  </si>
  <si>
    <t>Grijota</t>
  </si>
  <si>
    <t>Ciudadanos de Grijota. Palencia. ciudadanosgrijota@gmail.com</t>
  </si>
  <si>
    <t>http://www.ciudadanos-cs.org/nuestras-ideas</t>
  </si>
  <si>
    <t>Delft, Nederland</t>
  </si>
  <si>
    <t>Barceloní. Convencido de los ideales de Marx. De Groucho Marx. Biotecnólogo doctorándome en biofísica en la @tudelft</t>
  </si>
  <si>
    <t>vikuku</t>
  </si>
  <si>
    <t>💥VAYA OSTIÓN 💥Albert RIVERA ⚡️ZURRA⚡️ a RUFIÁN, a SÁNCHEZ y a PABLO IGLE...  vía @YouTube</t>
  </si>
  <si>
    <t>Hoy @Albert_Rivera ha hablado en el Congreso para defender la democracia y que los demócratas se unan para condenar los ataques nazis a partidos políticos en Catalunya. Ahora en serio, ha hablado para intentar prohibir indultos a gente no condenada (luego inocente). Fascismo 2.0 RT @neustomas: Esto también está pasando en Catalunya (por si no aparece en otros medios): Atacadas con pintura una docena de sedes de partidos y entidades independentistas en varias ciudades  vía @eldiarioes</t>
  </si>
  <si>
    <t>Me flipa la aviación</t>
  </si>
  <si>
    <t>Pita #Desbanda2019</t>
  </si>
  <si>
    <t>#CaminoDeLaRepública no puedo estar de acuerdo con la Presidenta del Congreso. Llamar golpistas a los indepes caralanes si es un insulto. Llamar fascista a @Albert_Rivera es un epíteto generoso.</t>
  </si>
  <si>
    <t>Caninfin</t>
  </si>
  <si>
    <t>Es verdad! La Sexta nos quiere meter con calzador al partido de Albert Rivera .Se nota,una barbaridad. Yo se lo regalo a Ferreras y a los dueños de la cadena,sin pedirle nada a cambio.</t>
  </si>
  <si>
    <t>Málaga, Andalucía</t>
  </si>
  <si>
    <t>José Manuel Luque Gálvez Trabajando en @participativaya , recuperando memoria en @ladesbanda y enamorado de @angelesmbueno</t>
  </si>
  <si>
    <t>Rubén 🔻</t>
  </si>
  <si>
    <t>Eres un ser despreciable y un fascista. Cómo duelen las verdades eh. @Albert_Rivera RT @Esquerra_ERC: 🎥 [VÍDEO] @JoanTarda a Albert Rivera: "Cada vez que nos llame a nosotros golpistas, le diremos fascista"</t>
  </si>
  <si>
    <t>Malcolm x</t>
  </si>
  <si>
    <t>Donde tu ves un grupo de SUBNORMALES... Albert Rivera por ejemplo ve Españoles.</t>
  </si>
  <si>
    <t>https://twitter.com/esquerra_erc/status/1064949582600249350</t>
  </si>
  <si>
    <t>pic.twitter.com/cykhgVGqVg</t>
  </si>
  <si>
    <t>https://pbs.twimg.com/media/DsnvBjkXcAE1jXW.jpg</t>
  </si>
  <si>
    <t>Normalmente, cuando las personas están tristes no hacen nada. Sólo lloran sobre su condición.Pero cuando están enfadados, provocan el cambio</t>
  </si>
  <si>
    <t>Volveremos a vencer ☭</t>
  </si>
  <si>
    <t>Podemos Esquivias</t>
  </si>
  <si>
    <t>Mira, como las piedras de @Albert_Rivera en #Altsasu RT @JonInarritu: ¿Dónde está el escupitajo? ¿Por qué nadie lo ha visto? #Fakenew</t>
  </si>
  <si>
    <t>PSOE? Amigos de los golpistas PNV? Racistas y egoístas Bildu? Etarras PDECat y ERC? Golpistas y supremacistas Podemos? Amigos de los golpistas y bolivarianos de extrema izquierda VOX? Yo no entro a valorar estas cosas. Eso se lo dejo a ustedes.</t>
  </si>
  <si>
    <t>https://twitter.com/joninarritu/status/1065268359929966592
https://twitter.com/24h_tve/status/1065221450926297089</t>
  </si>
  <si>
    <t>Esquivias, España</t>
  </si>
  <si>
    <t>Cuenta oficial de Podemos Esquivias (Toledo), siguenos también en https://www.facebook.com/PodemosEsquivias/</t>
  </si>
  <si>
    <t>http://www.podemos.info</t>
  </si>
  <si>
    <t>Daniel Sánchez 🎗️</t>
  </si>
  <si>
    <t>Analista político no, pero tonto lo eres un rato largo @Albert_Rivera.</t>
  </si>
  <si>
    <t>Jose Luis (Monty)</t>
  </si>
  <si>
    <t>https://pbs.twimg.com/media/Dsjd-kAWkAAPNA7.jpg</t>
  </si>
  <si>
    <t>Esquivias (Toledo)</t>
  </si>
  <si>
    <t>Pineda de Mar, Catalunya</t>
  </si>
  <si>
    <t>https://www.facebook.com/JoseMonty69</t>
  </si>
  <si>
    <t>Estudiante de Ingeniería Informática en Facultad de Informática de Barcelona (@la_UPC) • Catalanista • Fins a la victòria ✊🏼🎗</t>
  </si>
  <si>
    <t>http://instagram.com/danisanchezp_</t>
  </si>
  <si>
    <t>Miguel Angel Batista</t>
  </si>
  <si>
    <t>Otro enfrentamiento destacado en el Congreso ha sido el que han mantenido @JoanTarda y @Albert_Rivera</t>
  </si>
  <si>
    <t>https://www.eldiario.es/politica/Tarda-Rivera-golpistas-llamaremos-Empezando_0_837817328.html</t>
  </si>
  <si>
    <t>https://pbs.twimg.com/media/Dsjc0ZUWoAA_1Yr.jpg</t>
  </si>
  <si>
    <t>Santa Cruz de Tenerife, Islas</t>
  </si>
  <si>
    <t>Informático. Socialista. Polémico. Secretario de Social Media y Contenidos Digitales de @PSOESantaCruzTF</t>
  </si>
  <si>
    <t>IgnacioSR</t>
  </si>
  <si>
    <t>Hoy en el trabajo todos tenemos la sensación de que la crisis que viene va a ser peor que la última. Llevas poco tiempo al frente, pero señor @sanchezcastejon @pablocasado_ @Albert_Rivera @Pablo_Iglesias_ ¿Podríais poneros de acuerdo en algo para que creamos que no va a ser así?</t>
  </si>
  <si>
    <t>Humanos. Reflexiones</t>
  </si>
  <si>
    <t>Francisco Javier Martínez Romero</t>
  </si>
  <si>
    <t>Implantación Cs🍊 Cataluña damos las gracias a los 14 ciudadanos que hoy se han unido a nuestro proyecto en Mollerusa y Calella👍👍🍊🍊 volveremos a seguir informando. @Albert_Rivera @InesArrimadas @carrizosacarlos @CarlosSM_Cs @CiutadansCs</t>
  </si>
  <si>
    <t>lali</t>
  </si>
  <si>
    <t>Albert Rivera dice que llamar golpista “no es insultar, es describir”</t>
  </si>
  <si>
    <t>Acta est fabula...!!!</t>
  </si>
  <si>
    <t>semanal12</t>
  </si>
  <si>
    <t>NO Q ES DEMÓCRATA @sanchezcastejon YA SE VE NADA A CAMBIADO EN #Cuba CON @DiazCanelB SIGUE LA DICTADURA “GOZA D CABAL SALUD” @pablocasado_ @Albert_Rivera RT @sextaNoticias: VÍDEO | Pedro Sánchez no se verá con la disidencia cubana en su histórica visita a la isla</t>
  </si>
  <si>
    <t>https://twitter.com/sextaNoticias/status/1065330028383211523
http://atres.red/ireud1</t>
  </si>
  <si>
    <t>🚴‍♀️ Buena noticia: el Congreso aprueba la reforma que mejorará la protección de los ciclistas, los más vulnerables en las carreteras. Crucial para combatir los accidentes y garantizar la seguridad de todos. Enhorabuena por el gran trabajo, @_Irene_Rivera.</t>
  </si>
  <si>
    <t>https://www.europapress.es/sociedad/noticia-congreso-aprueba-reforma-endurece-penas-imprudencias-volante-20181122164544.html</t>
  </si>
  <si>
    <t>Verónica Fernández 🎗🎗🎗🎗</t>
  </si>
  <si>
    <t>Qué mala persona eres @Albert_Rivera cuanto odio cuánta bilis tienes... El bus lo pagas tú? Qué poca vergüenza tienes, suerte que aquí sabemos de qué pie calzas...</t>
  </si>
  <si>
    <t>Martorell</t>
  </si>
  <si>
    <t>Mercedes dela Fuente</t>
  </si>
  <si>
    <t>ÉL, SIEMPRE TAN COHERENTE😂 Albert Rivera, en el 2017: "Montar un autobús no es hacer oposición, es un show"</t>
  </si>
  <si>
    <t>GONZALO DE LA CAMPA</t>
  </si>
  <si>
    <t>Lo que todos los políticos deberían saber. Pásalo!  #Politica El Senado, El FMI, #poesia @elmundoes @elpais_espana @tve_tve @antena3com @cuatro @salvadostv @DebatAlRojoVivo @SextaNocheTV @sanchezcastejon @sanchezcastejon @Albert_Rivera @Pablo_Iglesias_</t>
  </si>
  <si>
    <t>Albuñol, Granada</t>
  </si>
  <si>
    <t>Hasta 2008, enfermera pija en Hospital Puerta de Hierro, Madrid. Actualmente, cortijera y enfermera en Hospital Santa Ana, Motril</t>
  </si>
  <si>
    <t>http://cronicasdesdelacosta.blogspot.com/</t>
  </si>
  <si>
    <t>https://youtu.be/jOKUHInEhjE</t>
  </si>
  <si>
    <t>Consultor de Marketing Online, Divilover y WordPressero.Viviendo una vida que no me atreví a soñar y queriendo ayudar a los demás a conseguir lo mismo.</t>
  </si>
  <si>
    <t>https://www.cursowp-online.com</t>
  </si>
  <si>
    <t>Dexter /</t>
  </si>
  <si>
    <t>TONI LUQUE ANDRES</t>
  </si>
  <si>
    <t>Estais rompiendo España y haciendo que crezca el odio entre la gente!!! @pablocasado_ @sanchezcastejon @Albert_Rivera @Pablo_Iglesias_</t>
  </si>
  <si>
    <t>Hispania</t>
  </si>
  <si>
    <t>Globalistán delenda est</t>
  </si>
  <si>
    <t>CARTAGENA</t>
  </si>
  <si>
    <t>Barbilla bien alta,mirada al frente,paso firme y patrás ni para tomar impulso</t>
  </si>
  <si>
    <t>FELINO</t>
  </si>
  <si>
    <t>Albert Rivera y Pablo Casado no han condenado al franquismo. Por una vez no han mentido. Han sido Francos.</t>
  </si>
  <si>
    <t>Adan Esmit</t>
  </si>
  <si>
    <t>Titular de @Diario_16 para tontos. @Albert_Rivera no ha contestado. Luego no se ha negado a nada. Podía haber calificado a @vox_es como de ultraizquierda o de ONG. No sois serios. RT @Diario_16: Rivera se niega a calificar a Vox como un partido de #extremaderecha. Hasta en tres ocasiones ha evitado la pregunta sobre “en qué punto del espectro ideológico sitúa él a ese partido”.  @diario_16 @vox_es @CiudadanosCs @Albert_Rivera #ExtremaderechaaSecas</t>
  </si>
  <si>
    <t>https://twitter.com/Diario_16/status/1065337776936243205
http://diario16.com/rivera-se-niega-calificar-vox-partido-extrema-derecha/</t>
  </si>
  <si>
    <t>https://pbs.twimg.com/media/DsjXDo6WkAEXo4d.jpg</t>
  </si>
  <si>
    <t>No somos nada.</t>
  </si>
  <si>
    <t>The world</t>
  </si>
  <si>
    <t>Las Cosas de Adan Esmit: Lucubraciones de un ciudadano español, que no entiende de aficiones políticas. Sólo de hechos y resultados.</t>
  </si>
  <si>
    <t>http://adanesmit.blogspot.com/</t>
  </si>
  <si>
    <t>Belice</t>
  </si>
  <si>
    <t>Mira Albert Rivera sólo acertó con el PNV RT @ander_errasti: PSOE? Amigos de los golpistas PNV? Racistas y egoístas Bildu? Etarras PDECat y ERC? Golpistas y supremacistas Podemos? Amigos de los golpistas y bolivarianos de extrema izquierda VOX? Yo no entro a valorar estas cosas. Eso se lo dejo a ustedes. Vaya tela. Y es reproducción soft</t>
  </si>
  <si>
    <t>Vergüenza me da que gente de vuestra calaña nos represente, y este país esté en vuestras manos,en manos de aquellos que tratan la vida de los españoles en el Congreso como si fuera el patio de un colegio @sanchezcastejon @pablocasado_ @Pablo_Iglesias_ @Albert_Rivera</t>
  </si>
  <si>
    <t xml:space="preserve"> Corea Mental</t>
  </si>
  <si>
    <t>He estudiado Derecho pero no voy a sacarte de la cárcel cuando robes algo vale? Hago fotos y escribo en @ThunderstrokeMZ</t>
  </si>
  <si>
    <t>https://thunderstroke.es</t>
  </si>
  <si>
    <t>Alberto Castillo</t>
  </si>
  <si>
    <t>Señor @JoanTarda y señor @gabrielrufian yo si los llamo a Vds GOLPISTAS. Porque eso es lo que son. Y Vd Sr @JoanTarda el único culpable de la vergüenza, de hoy, en @Congreso_Es Vd empezó ayer llamando fascista a @Albert_Rivera Lo triste es que cobren Vds de mis impuestos</t>
  </si>
  <si>
    <t>Periodista. Amante de mis raíces. Música clásica y literatura. Director de la Fundación de la Asociación de la Prensa de Murcia. Colaborador Diario La Opinión</t>
  </si>
  <si>
    <t>http://www.cajinesyalbares.com</t>
  </si>
  <si>
    <t>Diego de Torres</t>
  </si>
  <si>
    <t>¿Aún no ha dicho @pnique que la culpa del escupitajo es de @Albert_Rivera?</t>
  </si>
  <si>
    <t>Hace tiempo estaba indeciso, pero ahora ya no estoy tan seguro. A todo el que te pida, dale (San Lucas, 6:30). Ciudadano.</t>
  </si>
  <si>
    <t>Agustín Millán</t>
  </si>
  <si>
    <t>Rivera se niega a calificar a Vox como un partido de #extremaderecha. Hasta en tres ocasiones ha evitado la pregunta sobre “en qué punto del espectro ideológico sitúa él a ese partido”.  @diario_16 @vox_es @CiudadanosCs @Albert_Rivera #ExtremaderechaaSecas</t>
  </si>
  <si>
    <t>http://diario16.com/rivera-se-niega-calificar-vox-partido-extrema-derecha/</t>
  </si>
  <si>
    <t>https://pbs.twimg.com/media/DsjXR2GWoAAxWtJ.jpg</t>
  </si>
  <si>
    <t>Robert Finch</t>
  </si>
  <si>
    <t>Fotógrafo profesional y periodista en @Diario_16 Siempre al lado de la noticia.</t>
  </si>
  <si>
    <t>http://www.agustin-millan.photos</t>
  </si>
  <si>
    <t>Somos de mujer</t>
  </si>
  <si>
    <t>Juan Carlos Girauta</t>
  </si>
  <si>
    <t>Albert Rivera e Ignacio Gordillo liderarán la concentración del sábado en Madrid contra los indultos a los golpistas.</t>
  </si>
  <si>
    <t>Gobierno Periodistas Periódicos Política Política y Gobierno Prensa</t>
  </si>
  <si>
    <t>Cumbre Social</t>
  </si>
  <si>
    <t>Portavoz de Cs en el Congreso de los Diputados</t>
  </si>
  <si>
    <t>La movilización continúa: una respuesta simétrica a una política que perjudica a la inmensa mayoría de la población</t>
  </si>
  <si>
    <t>https://socialcumbre.blogspot.com.es/</t>
  </si>
  <si>
    <t>Fco. Gómez Martín</t>
  </si>
  <si>
    <t>YO NO DIGO NÁ; SOLO OBSERVO....😎 Hasta tres veces se ha tocado la nariz en nota de C´s Albert Rivera durante la entrevista que la han hecho en los Desayunos de TVE...» Más que en un plato parecía que estaba en el aseo de una discoteca de pijos.</t>
  </si>
  <si>
    <t>LaGatadeSevilla</t>
  </si>
  <si>
    <t>Mérida - Extremadura - España</t>
  </si>
  <si>
    <t>Lucho para lograr un mundo mejor correteando por las calles de Sevilla</t>
  </si>
  <si>
    <t>Diario16</t>
  </si>
  <si>
    <t>Diario 16 Digital. Análisis, opinión, actualidad y más. Facebook: https://www.facebook.com/Diario16/ Telegram: https://t.me/Diario16Info</t>
  </si>
  <si>
    <t>http://www.diario16.com</t>
  </si>
  <si>
    <t>Àlex OG</t>
  </si>
  <si>
    <t>Y pasaba ya antes de los lazos y la pintura amarilla... Pero de esto seguro que nunca oiremos hablar (y menos condenar) a @pablocasado_ y @Albert_Rivera RT @neustomas: Esto también está pasando en Catalunya (por si no aparece en otros medios): Atacadas con pintura una docena de sedes de partidos y entidades independentistas en varias ciudades  vía @eldiarioes</t>
  </si>
  <si>
    <t>Periodista, Barcelona. Journalist, specialist in tennis, handball and golf</t>
  </si>
  <si>
    <t>Héctor Enemigo</t>
  </si>
  <si>
    <t>Ofreces una propuesta de moción para presentarla todas las fuerzas políticas en conjunto y una de las concejalas del equipo de gobierno te responde con chulería. En Benetússer pretenden ser @gabrielrufian y se quedan en @Albert_Rivera</t>
  </si>
  <si>
    <t>Benetússer</t>
  </si>
  <si>
    <t>#Analfanauta</t>
  </si>
  <si>
    <t>Más influyentes ahora en Derecha/Centro Dcha.: ➀ @rosadiezglez ↑ ➁ @JosPastr ↓ ➂ @carrizosacarlos ↓ ➃ @FroilLannister ↑ ➄ @jordi_canyas ↓ ➅ @javiernegre10 ↑↑ ➆ @Escribano_R ↓ ➇ @Anonymus_ES ↓ ➈ @Albert_Rivera ↓</t>
  </si>
  <si>
    <t>druida108@gmail.com</t>
  </si>
  <si>
    <t>Albert Rivera, tu no cometes errores, El ERROR eresTU</t>
  </si>
  <si>
    <t>#NoMásFascismo</t>
  </si>
  <si>
    <t>Opina de todos, Podemos chavista, PSOE filoetarra golpista, etc, pero oye, le preguntas por los primos y 'él no es analista político': "El apuro de @Albert_Rivera cuando le preguntan si Vox es extrema derecha".</t>
  </si>
  <si>
    <t>Madrid (presuntamente Europa)</t>
  </si>
  <si>
    <t>Lo importante son las personas, no las banderas. Cuando algunos convierten la política en religión debatir no es opción.</t>
  </si>
  <si>
    <t>Clara  🚀</t>
  </si>
  <si>
    <t>Espero impaciente el tweet de @Albert_Rivera RT @eldiarioes: ÚLTIMA HORA | PP y Ciudadanos se abstienen en la condena del Senado al franquismo</t>
  </si>
  <si>
    <t>https://twitter.com/eldiarioes/status/1065233637401128960
https://www.eldiario.es/politica/PP-Ciudadanos-condenar-franquismo-Senado_0_838166777.html</t>
  </si>
  <si>
    <t>https://pbs.twimg.com/media/Dsh4V7mW0AAD0MV.jpg</t>
  </si>
  <si>
    <t>IDENTIDAD Y CULTURA</t>
  </si>
  <si>
    <t>Gracias Ciudadanos por aportar alguna cordura a la política Albert Rivera propondrá que los nacionalistas tengan un 3% de los votos para entrar en el Congreso  vía @elmundoes</t>
  </si>
  <si>
    <t>Brindaremos nuestra fragilidad. Graduada en Física UAM. Matemáticas UNED. Candado: @claraysucandado</t>
  </si>
  <si>
    <t>La obsesión de los nacionalismos por inventar o significar interesadas singularidades identitarias, se basa en ocultar y justificar ignorancias y privilegios</t>
  </si>
  <si>
    <t>Cerca de las Retamas</t>
  </si>
  <si>
    <t>Vox es el espejo del alma de @Albert_Rivera y @CiudadanosCs, y quieren lavarse la cara con #TodosConJuan</t>
  </si>
  <si>
    <t>Dronista</t>
  </si>
  <si>
    <t>http://www.cercadelasretamas.com</t>
  </si>
  <si>
    <t>Tuitiritran</t>
  </si>
  <si>
    <t>Menos mal que va a venir @Albert_Rivera a enseñarnos a pescar y que su nuevo amo Abascal va a reconquistar Andalucía a caballo. No sé cómo hemos podido vivir en Andalucía 37 años sin fascistas. Gracias de corazón . #TodosConJuan</t>
  </si>
  <si>
    <t>l’Èric</t>
  </si>
  <si>
    <t>Cádiz, España</t>
  </si>
  <si>
    <t>Progresista, feminista y animalista pero todo en su justa medida. #Boxeo #F1 #MotoGP. Bloqueador de fachas nivel élite. Mi corrector se lleva mal conmigo.</t>
  </si>
  <si>
    <t>https://pbs.twimg.com/media/DsnlRaIXQAIkSg8.jpg</t>
  </si>
  <si>
    <t>Josep Crespo</t>
  </si>
  <si>
    <t>Oficialmente ya podemos llamar fascistas al @PPopular a @CiudadanosCs empezando por sus máximos dirigentes, @pablocasado_ y @Albert_Rivera ¡¡¡FASCISTAS, FASCISTAS, FASCISTAS!! RT @iescolar: ÚLTIMA HORA | PP y Ciudadanos se abstienen en la condena del Senado al franquismo un día después del 20N</t>
  </si>
  <si>
    <t>https://twitter.com/iescolar/status/1065233605574762497
https://www.eldiario.es/politica/PP-Ciudadanos-condenar-franquismo-Senado_0_838166777.html</t>
  </si>
  <si>
    <t>Adeje, Islas Canarias</t>
  </si>
  <si>
    <t>Manel</t>
  </si>
  <si>
    <t>Benisser, alacantí, d'esquerres, independentista, enamorat de la millor terreta del món i emigrant a l'illa de Tenerife, developer a http://treexor.com</t>
  </si>
  <si>
    <t>Parece que se olvida muy rápido que Albert Rivera militó en Falange Española.</t>
  </si>
  <si>
    <t>David</t>
  </si>
  <si>
    <t>BCN, Catalunya.</t>
  </si>
  <si>
    <t>Descripción gráfica de @Albert_Rivera cuando le preguntan si @vox_es extrema derecha 👇👇👇</t>
  </si>
  <si>
    <t>Sóc filòleg i educador, no necessàriament en aquest ordre. Les possibilitats del llenguatge em fascinen. En política, sóc català; no fa falta dir res més.</t>
  </si>
  <si>
    <t>pic.twitter.com/4nxaiOKpJ4</t>
  </si>
  <si>
    <t>¿Casualidades?, no creo en ellas, hasta el más pequeño de los sucesos tiene su propósito. « Nosce te ipsum»</t>
  </si>
  <si>
    <t>Jesus Martinez 🎗(yellow, not blue)</t>
  </si>
  <si>
    <t>Y después @Albert_Rivera se molesta porque lo llamemos fascista… RT @VilaWeb: Ciutadans i PP s’abstenen de condemnar el franquisme al senat</t>
  </si>
  <si>
    <t>https://twitter.com/VilaWeb/status/1065326203043831810
https://www.vilaweb.cat/noticies/ciutadans-i-pp-sabstenen-de-condemnar-el-franquisme-al-senat/</t>
  </si>
  <si>
    <t>Sant Cugat</t>
  </si>
  <si>
    <t>Médico, aficionado a las nuevas tecnologias y enamorado de la fotografia. Mis opiniones son personales. 🎗️🎗️🎗️🎗️🎗️🎗️🎗️🎗️🎗️</t>
  </si>
  <si>
    <t>http://www.jesusmartinezphoto.com</t>
  </si>
  <si>
    <t>En desarrollo en #Venezuela 🇻🇪🇻🇪🇻🇪🇻🇪🇻🇪🇻🇪🇻🇪🇻🇪 la Dictadura sólo le queda atacar a los estudiantes... @Almagro_OEA2015 @marcorubio @beatrizbecerrab @EP_President @Albert_Rivera @pablocasado @hrw_espanol @mbachelet @oariascr @CIDH RT @VivaLaUCV: Continua la represión en la UCV Llueven bombas lacrimógenas dentro del campus ¡Los estudiantes no nos rendimos a pesar de la represión!</t>
  </si>
  <si>
    <t>https://twitter.com/VivaLaUCV/status/1065298990021922816</t>
  </si>
  <si>
    <t>pic.twitter.com/1SMheT6lSB</t>
  </si>
  <si>
    <t>Primo del Rivera</t>
  </si>
  <si>
    <t>Dice @Albert_Rivera que los presos independentistas son golpistas y que no deberían ser indultados y pone de ejemplo a Tejero, pero su partido a su vez se niega a condenar la dictadura franquista junto al @PPopular. Mira que pensar que Rivera y Casado puedan ser fascistas ..</t>
  </si>
  <si>
    <t>pic.twitter.com/j00No1Kkwb</t>
  </si>
  <si>
    <t>Primo del Líder Supremo de Españistán; el Generalísimo Albert Rivera. Creador del blog kKdiaria (https://kkdiaria.blogspot.com).</t>
  </si>
  <si>
    <t>http://elmundotalcomovapd.blogspot.com.es</t>
  </si>
  <si>
    <t>TrueWolf</t>
  </si>
  <si>
    <t>Albert Rivera propondrá que los nacionalistas tengan un 3% de los votos para entrar en el Congreso | España -  - Échale un vistazo a esta app! Android :  iOS:  . He aquí un 3% que los españoles si quieren.</t>
  </si>
  <si>
    <t>Rafael Molina</t>
  </si>
  <si>
    <t>https://www.elmundo.es/espana/2018/11/22/5bf6a067e5fdea356f8b4633.html
https://goo.gl/W5VWmt
https://goo.gl/GjVD1e</t>
  </si>
  <si>
    <t>Rufián, Borrell y el silencio de los corderos  vía @elmundoes 'Por eso todo el mundo en ese hemiciclo odia a los naranjas: porque después de apaleados aún tienen la elegancia de aplaudir al adversario cuando coinciden con él' @Albert_Rivera</t>
  </si>
  <si>
    <t>https://www.elmundo.es/espana/2018/11/21/5bf53f8b268e3e0a5a8b465c.html</t>
  </si>
  <si>
    <t>Leoz, España</t>
  </si>
  <si>
    <t>Mundo</t>
  </si>
  <si>
    <t>Soñador, navegante, artrodesiado, peregrino, ciudadano del mundo..</t>
  </si>
  <si>
    <t>aznar ♀</t>
  </si>
  <si>
    <t>La cuenta de Pérez-Reverte gira en torno a dos grandes temas: uno es llamar estúpida y con una supuesta falta de cultura a la gente de &lt;40 años que habla sobre la Guerra Civil, y el otro, reivindicar el solo con tilde. Adivinad a los tweets de qué tema da like Albert Rivera</t>
  </si>
  <si>
    <t>🗞️ @Albert_Rivera "Lo único bueno que Sánchez puede hacer en lo que queda de legislatura es el decreto de convocatoria de elecciones" Más info 👉🏻</t>
  </si>
  <si>
    <t>http://bit.ly/2qXbaJX</t>
  </si>
  <si>
    <t>https://pbs.twimg.com/media/Dsh1BOrXcAAsKZH.jpg</t>
  </si>
  <si>
    <t>“Al fin y al cabo, somos lo que hacemos para cambiar lo que somos” (Galeano).~ Psicología social y comunitaria. Feminismo. Yo he venido aquí a quejarme.</t>
  </si>
  <si>
    <t>https://www.psicomemorias.com/concurso-bisexualidad-siempre-invisibles/</t>
  </si>
  <si>
    <t>tekila80</t>
  </si>
  <si>
    <t>Yo no soy analista político, soy FASCISTA verdad @Albert_Rivera jajaja por mucho que te hagas el lelo sabemos lo que eres.</t>
  </si>
  <si>
    <t>YoSoyDeVOX</t>
  </si>
  <si>
    <t>Los Fosfonautas📻🇪🇸</t>
  </si>
  <si>
    <t>📹 La réplica de @carlosherreracr 🎙 en @HerreraenCOPE @COPE 📻 a Tardá al llamar 'fascista' a @Albert_Rivera</t>
  </si>
  <si>
    <t>Morata de Jalón, España</t>
  </si>
  <si>
    <t>Tabarnés YO SOY DE VOX 💪</t>
  </si>
  <si>
    <t>http://www.xn--repblicadeespaa-crb5l.com</t>
  </si>
  <si>
    <t>https://youtu.be/rt7rxMOkEx4</t>
  </si>
  <si>
    <t>Perfil de los Fosfonautas, Fans de @CarlosHerreracr y su programa @HerreraenCOPE https://www.facebook.com/Fosfonautascarlosherrera/</t>
  </si>
  <si>
    <t>http://losfosfonautas.blogspot.com.es/</t>
  </si>
  <si>
    <t>Alberto Priego</t>
  </si>
  <si>
    <t>Albert Rivera propondrá que los nacionalistas tengan un 3% de los votos para entrar en el Congreso | YO EL LIBERALISMO LO ENTIENDO DE OTRA FORMA</t>
  </si>
  <si>
    <t>Enrique Boto</t>
  </si>
  <si>
    <t>Apoyo a la presidenta del @Congreso_Es, @anapastorjulian, en su decisión de retirar del Diario de sesiones las palabras "golpista" y "fascista". @Albert_Rivera</t>
  </si>
  <si>
    <t>Lecturer on International Relations (PhD) Universidad Pontificia Comillas - I have a head full of dreams 🇪🇺🇪🇸 Evionim. Astéroïde B 612</t>
  </si>
  <si>
    <t>Madrid-España-Unión Europea</t>
  </si>
  <si>
    <t>El poder del ciudadano</t>
  </si>
  <si>
    <t>Mtro. Liendre</t>
  </si>
  <si>
    <t>. @pablocasado_ @gabrielrufian @Albert_Rivera @Pablo_Iglesias_ @sanchezcastejon sois la vergüenza de nuestro país!</t>
  </si>
  <si>
    <t>Cada maestrillo tiene su librillo, pero el mío está en blanco</t>
  </si>
  <si>
    <t>Flako Lopez</t>
  </si>
  <si>
    <t>Cómo osais llamar fascistas a @pablocasado_ y @Albert_Rivera RT @ElHuffPost: ÚLTIMA HORA: El Senado condena al franquismo con la abstención del PP, Ciudadanos, UPN y Foro Asturias</t>
  </si>
  <si>
    <t>salvador esquius</t>
  </si>
  <si>
    <t>I a ti también por gili Albert Rivera propondrá que los nacionalistas tengan un 3% de los votos para entrar en el Congreso  vía @elmundoes</t>
  </si>
  <si>
    <t>https://twitter.com/ElHuffPost/status/1065234370842304514
http://www.huffingtonpost.es/2018/11/21/el-senado-condena-el-franquismo-con-la-abstencion-de-pp-ciudadanos-upn-y-foro_a_23595911/</t>
  </si>
  <si>
    <t>https://pbs.twimg.com/media/Dsh4_XYWkAEmPTa.jpg</t>
  </si>
  <si>
    <t>En las nubes</t>
  </si>
  <si>
    <t>La parte cantante de @vband_music https://www.instagram.com/vband_music/ Compongo cosas que luego descompongo https://soundcloud.com/flako-lopez-91540318</t>
  </si>
  <si>
    <t>Sois una gentuza irresponsable!!! Dais pena @CiutadansCs @Albert_Rivera @InesArrimadas vaya mierda de políticos. RT @CiudadanosCs: 🚌🇪🇸 El autobús de @ESPCiudadana ha estado en el @Congreso_Es para repartir información sobre la manifestación "STOP Sánchez, Elecciones ya". ❌ ¡Digamos NO a los indultos! 📸 Te dejamos aquí unas fotos del momento.</t>
  </si>
  <si>
    <t>Toni Cantó</t>
  </si>
  <si>
    <t>Albert Rivera propondrá que los nacionalistas tengan un 3% de los votos para entrar en el Congreso.</t>
  </si>
  <si>
    <t>https://twitter.com/ciudadanoscs/status/1064837499728683010</t>
  </si>
  <si>
    <t>https://pbs.twimg.com/media/DscP8mxWoAE_lk8.jpg</t>
  </si>
  <si>
    <t>Actor.Diputado de Ciudadanos por la provincia de Valencia en la 12ª legislatura.Presidente de la comisión de la lucha contra la corrupción y por la regeneración</t>
  </si>
  <si>
    <t>Más influyentes ahora en Derecha/Centro Dcha.: ➀ @JosPastr ↓ ➁ @rosadiezglez ↓ ➂ @carrizosacarlos ↓ ➃ @jordi_canyas ↑ ➄ @CiudadanosCs ↓ ➅ @Albert_Rivera ↓ ➆ @FroilLannister ↑ ➇ @Escribano_R ↓ ➈ @CristinaSegui_ ↓</t>
  </si>
  <si>
    <t>DRY Madrid</t>
  </si>
  <si>
    <t>#PPCsVoxUltraderechistas Para Albert Rivera, sus adversarios políticos son terroristas, golpistas, populistas, bolivarianos... pero cuando se trata de calificar como ultraderecha a Vox, ya tal. Si es que son la misma cloaca neofalangista ¿qué van a...</t>
  </si>
  <si>
    <t>https://www.publico.es/politica/ciudadanos-rivera-cierra-banda-tres-ocasiones-no-decir-vox-extrema-derecha.html</t>
  </si>
  <si>
    <t>Noticias del nodo de Democracia real Ya! en Madrid. No somos mercancía en manos de políticos y banqueros. Dormíamos, despertamos. #SíSePuede</t>
  </si>
  <si>
    <t>http://madrid.democraciarealya.es</t>
  </si>
  <si>
    <t>COPE</t>
  </si>
  <si>
    <t>¿Cuál ha sido la rotunda respuesta de @HerreraenCOPE a Tardá tras llamar "fascista" a @Albert_Rivera ? Escúchala aquí 👇</t>
  </si>
  <si>
    <t>http://ww.cope.es/nfbat5</t>
  </si>
  <si>
    <t>Está pasando, estás en COPE 📻 Toda la información 💻, el mejor equipo de la radio deportiva🏅, el mejor entretenimiento y podcast 🎙️</t>
  </si>
  <si>
    <t>http://www.cope.es</t>
  </si>
  <si>
    <t>Lucía</t>
  </si>
  <si>
    <t>Luchamos por lo que es justo @RAGCEasociados @AJPN13 @AjpneG @Albert_Rivera @sanchezcastejon @PPopular @guardiacivil @jucilnacional @jusapol @JupolNacional RT @AJPN13: Muchas gracias @SaraHispania por seguir creyendo en @AJPN13 Y @RAGCEasociados!! Señores ellos si estuvieron allí!! gracias @DLPEspana y el resto??</t>
  </si>
  <si>
    <t>https://twitter.com/AJPN13/status/1065135759655612416
https://twitter.com/SaraHispania/status/1065026906549047297</t>
  </si>
  <si>
    <t>Fernando M. Lainez</t>
  </si>
  <si>
    <t>Norte-Sur-Este-Oeste</t>
  </si>
  <si>
    <t>De profesión, mi sueño infantil. Diplomada en Educación Social (UCM) Eterna alumna en el día a día y mi asignatura favorita LA VIDA ❤</t>
  </si>
  <si>
    <t>Público</t>
  </si>
  <si>
    <t>.@Albert_Rivera ha evitado como ha podido definir a @vox_es como un partido de extrema derecha. Sin embargo, sí dice de @ahorapodemos que son la izquierda radical. #PTVCongresoTaberna</t>
  </si>
  <si>
    <t>https://bit.ly/2AaGpVP</t>
  </si>
  <si>
    <t>Escritor y periodista.</t>
  </si>
  <si>
    <t>https://pbs.twimg.com/media/DsjFYarVAAAYFE0.jpg</t>
  </si>
  <si>
    <t>Twitter oficial del Diario Público. @Memoria_Publica @TodasPublico @pub_sinmordazas @yoanimal_p @tremending</t>
  </si>
  <si>
    <t>http://www.publico.es</t>
  </si>
  <si>
    <t>Juan S Morales Gámez</t>
  </si>
  <si>
    <t>#TodosConJuan por ser valiente y decir la verdad. @JuanMarin_Cs @CiudadanosCs @Cs_Andalucia @Cs_Jaen @CsJaen_Prov @MariaCantos_74 @MonicaMoreno_Cs @EnriqueMorenoCs @_Raquel_Morales @RayPrietoM @vpm841 @Albert_Rivera @FranHervias @InesArrimadas @JcsAndalucia @luiserbar @Danisp96</t>
  </si>
  <si>
    <t>Jaén (España)</t>
  </si>
  <si>
    <t>Abogado 4025 del @icajaen, vocal tercero del @AbogadosJovJaen y orgulloso afiliado de @CiudadanosCs Instagram: @juanmoralesgamez</t>
  </si>
  <si>
    <t>http://www.hojadeencargo.com/</t>
  </si>
  <si>
    <t>Mario Gimeno</t>
  </si>
  <si>
    <t>Abran paso, que @Albert_Rivera va a emitir un comunicado de condena! RT @CUP_Gava: Així han deixat els feixistes el local de @lamaquiacgv aquesta nit. Ataquen els projectes populars i d'esquerres perquè la seva és la cultura de l'odi. Tot el suport a les sòcies de l'ateneu. NO PODRÀN ATURAR L'AUTOORGANITZACIÓ POPULAR!! NO PASSARÀN!!</t>
  </si>
  <si>
    <t>https://twitter.com/CUP_Gava/status/1065201608143835136</t>
  </si>
  <si>
    <t>https://pbs.twimg.com/media/DshbLfYWkAA9iZ5.jpg</t>
  </si>
  <si>
    <t>Caldes D'Estrac - Catalunya</t>
  </si>
  <si>
    <t>Senegal-Bissau-Gambia-Catalunya, fent negocis i ajudant com podem a una gent meravellosa, que sempre et rep amb un somriure tot i que no tingui res per menjar.</t>
  </si>
  <si>
    <t>http://www.silogb.com</t>
  </si>
  <si>
    <t>Monte Luz</t>
  </si>
  <si>
    <t>Dolores Delgado es integrante de una trama mafiosa para destruir España.Las escuchas preparando extorciones a políticos con prostitutas son solo la punta del iceberg. Exijamos la dimisión inmediata de esta traidora a la patria @pablocasado_ @PPopular @CiudadanosCs @Albert_Rivera RT @ldpsincomplejos: Escupen a Borrell…y Pedro Sánchez fulmina al abogado del estado encargado de la causa contra los golpistas. "Destituido el abogado del Estado que quería acusar de rebelión a los golpistas"</t>
  </si>
  <si>
    <t>https://twitter.com/ldpsincomplejos/status/1065305626664939520
https://www.libertaddigital.com/espana/2018-11-21/dolores-delgado-releva-al-abogado-del-estado-que-no-firmo-la-rebaja-de-acusacion-a-los-golpistas-1276628629/</t>
  </si>
  <si>
    <t>un poco aquí un poco allá</t>
  </si>
  <si>
    <t>Soy de derechas porque soy buena persona</t>
  </si>
  <si>
    <t>Edmond Dantés</t>
  </si>
  <si>
    <t>Traducción del mensaje de @Albert_Rivera "Qué soy compañero!!!" RT @La_SER: Albert Rivera evita calificar a Vox como un partido de ultraderecha La entrevista completa del líder de @CiudadanosCs en @HoyPorHoy con @PepaBueno →</t>
  </si>
  <si>
    <t>https://twitter.com/La_SER/status/1065154211707404288?s=19
http://cadenaser.com/programa/2018/11/20/hoy_por_hoy/1542712340_800654.html</t>
  </si>
  <si>
    <t>coruxa</t>
  </si>
  <si>
    <t>De cómo los socialistas le han pegado una enculada a Albert Rivera y @CiudadanosCs Cs no presentará candidato a la alcaldía de Barcelona y apoyará a uno de los dos candidatos del PSC-PSOE 👇 RT @manuelvalls: Gràcies @Albert_Rivera pel teu suport i el del teu partit, juntament amb la plataforma, aconseguirem l’Alcaldia de #Barcelona. Aquesta setmana a @EspejoPublico 👇</t>
  </si>
  <si>
    <t>Leganés, España</t>
  </si>
  <si>
    <t>Let there be light, in a darkened room</t>
  </si>
  <si>
    <t>https://twitter.com/manuelvalls/status/1065588658110107650</t>
  </si>
  <si>
    <t>pic.twitter.com/A41IiCmyX7</t>
  </si>
  <si>
    <t>PACO &amp;</t>
  </si>
  <si>
    <t>En este pais bananero lo grave es la estupidez @gabrielrufian y los lazos amarillos de @Albert_Rivera mientras el reparto de jueces para controlar las sentencias,el paro,los miles de millones robados,los regalados a la banca y despilfarrados son detalles sin importancia QUE RUINA</t>
  </si>
  <si>
    <t>piensa... sé libre! @clubdeviernes</t>
  </si>
  <si>
    <t>https://pbs.twimg.com/media/DsjBOSeXcAEleGh.jpg</t>
  </si>
  <si>
    <t>Oviedo Valladolid EE.UU.</t>
  </si>
  <si>
    <t>Maruxisima 🤘</t>
  </si>
  <si>
    <t>Tenemos que disculpar a @Albert_Rivera por fascisjoven, a @conjosepborrell por fascisviejo, a @pablocasado_ por fascistonto y a @Sant_ABASCAL por nostálgico. ¿Sabéis que os digo? #NiOblitNiPerdó</t>
  </si>
  <si>
    <t>#Naranjito Exprés</t>
  </si>
  <si>
    <t>#Ciudadanos #YouTube Nuevo vídeo de CiudadanosCs // Albert Rivera. Rueda de prensa desde el Congreso</t>
  </si>
  <si>
    <t>- ¿Se considera usted una persona seria y responsable? - Chi</t>
  </si>
  <si>
    <t>https://www.youtube.com/watch?v=BCMKcPH6LK4</t>
  </si>
  <si>
    <t>Angel C. de Rivas</t>
  </si>
  <si>
    <t>Eduardo Rubiño ✔ @EduardoFRub Todos los días Cs nos llama “populistas”, “extrema izquierda” y cosas por el estilo, pero claro con Vox @ignacioaguado y @Albert_Rivera son muy escrupulosos, eso de las etiquetas está feo entre compañeros. POCA VERGÜENZA</t>
  </si>
  <si>
    <t>Noticias de #Ciudadanos Toda la actualidad de #Cs y @Albert_Rivera, #YoSoyNaranjito #Ciutadans / NO-OFICIAL</t>
  </si>
  <si>
    <t>Me he pasado veinte minutos mirando como una mosca se frotaba las patas ... ME PARECE INCREÍBLE CON QUE TONTERÍAS SE ENTRETIENEN LAS MOSCAS</t>
  </si>
  <si>
    <t>http://elrincndedonnadie.blogspot.com</t>
  </si>
  <si>
    <t>Jesús🔻</t>
  </si>
  <si>
    <t>Ni el grupo parlamentario de @Albert_Rivera ni de @pablocasado_ condenan el franquismo. Muy curioso. Se ve de dónde maman sus ideas. "Mismo perro pero distinto collar"</t>
  </si>
  <si>
    <t>Luis Javier Sanjuan</t>
  </si>
  <si>
    <t>El presidente de Ciudadanos, Albert Rivera, ha eludido calificar al partido ultraderechista Vox durante una entrevista en la Cadena Ser. "Yo no lo sé (dice) no soy analista, pero que conste que Podemos es populista y Pedro un golpista"😱 CAPULLO🌹💪</t>
  </si>
  <si>
    <t>República de Vallekas</t>
  </si>
  <si>
    <t>Vallekano. Por mis perros MA-TO. Animalista, vegetariano, republikano y de izquierdas.</t>
  </si>
  <si>
    <t>Joan Julibert</t>
  </si>
  <si>
    <t>Lo que és un escándalo @Albert_Rivera es que un partido se define liberal como el que representas no condene un golpe de estado que dió lugar a una dictadura tiránica, genocida y corrupta como el franquismo. Es escándalo y vergüenza #franquismo RT @Albert_Rivera: Sánchez está poniendo el Estado al servicio de los golpistas para poder atrincherarse en La Moncloa. Y purga sin pudor a todo aquel que se oponga a esta humillación nacional. Este es otro escándalo más en los meses de sanchismo en el poder.</t>
  </si>
  <si>
    <t>Periodista i professor UB. Ara a @nohoserac1, @elmonarac1, @totesmoutv3 i @lanita8tv. Autor de 'La causa del periodisme' i El poder de la mentida @saldonar.</t>
  </si>
  <si>
    <t>Catalán y jubilado. Me siento socialista y lo intento llevar a cabo. Como podréis observar la orquídea ha crecido y florecido, los socialistas igual.</t>
  </si>
  <si>
    <t>Humoristas</t>
  </si>
  <si>
    <t>COMO ESTÁ EL PAÍS...  @susanadiaz @JuanMa_Moreno @JuanMarin_Cs @TeresaRodr_ @pablocasado_ @Albert_Rivera @sanchezcastejon @Pablo_Iglesias_ @PSOE @psoedeandalucia @PPopular @ppandaluz @CiudadanosCs @Cs_Andalucia @ahorapodemos @Podemos_AND @vox_es</t>
  </si>
  <si>
    <t>https://youtu.be/GI65GdDbRyk</t>
  </si>
  <si>
    <t>Sitio web de LOS VIRUS aqui↙</t>
  </si>
  <si>
    <t>Duo de humoristas✌ @VictorLosVirus y @RubenRuizHumor ☺☺☺☺☺☺☺☺☺☺ Espectaculo☺PA HACEROS REIR☺ Contratacion☎670826886 Email:info@losvirusoficial.es</t>
  </si>
  <si>
    <t>http://www.losvirusoficial.es</t>
  </si>
  <si>
    <t>Antón R&amp;R ain't noise polution ✊</t>
  </si>
  <si>
    <t>Igual que el centro derecha alemán de Angela y los liberales.... Ah,que ellos si condenan el Nazismo!!! Pues qué sorpresa!!!,verdad @pablocasado_ @Albert_Rivera ? RT @eldiarioes: ÚLTIMA HORA | PP y Ciudadanos se abstienen en la condena del Senado al franquismo</t>
  </si>
  <si>
    <t>Galiza&amp;Canarias</t>
  </si>
  <si>
    <t>Cuando está todo perdido, sólo queda molestar/ A nosa terra non é nosa, rapaces/ Ellos dicen mierda,nosotros amén Fermín&amp;Daniel&amp;Evaristo</t>
  </si>
  <si>
    <t>JulioRLav</t>
  </si>
  <si>
    <t>Like si quieres que @Albert_Rivera se haga un drogotest ante las cámaras</t>
  </si>
  <si>
    <t>Reyentus</t>
  </si>
  <si>
    <t>#OTDirecto22NOV Sorprenden a Albert Rivera en el Congreso pactando consigo mismo</t>
  </si>
  <si>
    <t>Doctor en Química Orgánica. Miembro de @Cienciaconfutur Sin Ciencia No Hay Futuro</t>
  </si>
  <si>
    <t>soc_nou</t>
  </si>
  <si>
    <t>A ver @PPopular y @ciudadanos y @Albert_Rivera hubo o no hubo un golpe en el 36 que tumbó a un gobierno legítimo? Apoyais a un golpista llamado FRANCO? Entiendo que sois fascistas. 2+2=...</t>
  </si>
  <si>
    <t>El mundo</t>
  </si>
  <si>
    <t>No pretendo ofender. Quien se ofenda que perdone. Quien no sepa perdonar que aprenda a no ofenderse. ;-)</t>
  </si>
  <si>
    <t>http://es.reyentus.es</t>
  </si>
  <si>
    <t>Antoni Rodríguez</t>
  </si>
  <si>
    <t>RGM</t>
  </si>
  <si>
    <t>Por eso no sois centro izquierda. Y nunca obtendreis esos ansiados votos. 🤗. @Albert_Rivera @InesArrimadas @GirautaOficial RT @sextaNoticias: VÍDEO | Partido Popular y Ciudadanos se abstienen de condenar el franquismo en el Senado</t>
  </si>
  <si>
    <t>II*II Vaaaaya por Dios ¡¡ El Desinfectador @JosepBorrellF ya le ha dado una idea al "tonto el culo". Y si así fuera, dónde está el delito? Sólo en la cabeza d un Nazi "La Manada" #FelizJueves #Bondia #22Nov #ParaQuéSirveLaMonarquía #lacafeteracrispacioff</t>
  </si>
  <si>
    <t>https://bit.ly/2AeGHLC</t>
  </si>
  <si>
    <t>https://twitter.com/sextaNoticias/status/1065262309721952257
http://atres.red/ia5wu2</t>
  </si>
  <si>
    <t>Porque el inconformismo es una virtud, ¿haciendo amigos?. Un retuit no es un estar deacuerdo, o sí.</t>
  </si>
  <si>
    <t>Granollers, Republica Catalana</t>
  </si>
  <si>
    <t>Ciutadà, català, republicà, economista. Súbdito de nadie. "Nunca discutas con un@ idiota, te llevara a su terreno y ahí te ganará por experiencia"</t>
  </si>
  <si>
    <t>El PP y el cocainómano @Albert_Rivera impiden en El Senado que la apologia al fascismo siga siendo legal.</t>
  </si>
  <si>
    <t>Alberto 🐍</t>
  </si>
  <si>
    <t>Zaragoza, España</t>
  </si>
  <si>
    <t>Son o no son fascistas. De verdad, españolitos, no estáis preocupados por esa deriva tan evidente que está tomando el partido de la extrema derecha que son @Albert_Rivera @CiudadanosCs y @PPopular? Blanco y en botella, no? RT @eldiarioes: ÚLTIMA HORA | PP y Ciudadanos se abstienen en la condena del Senado al franquismo</t>
  </si>
  <si>
    <t>Libertario, warrier y madridista</t>
  </si>
  <si>
    <t>Rodrigo Gómez García</t>
  </si>
  <si>
    <t>Como ocurre en la mayoría de países de Europa, Albert Rivera propondrá que los nacionalistas tengan un 3% de los votos para entrar en el Congreso.En el Congreso debe estar presente el interés general no el particular</t>
  </si>
  <si>
    <t>Aragón, España</t>
  </si>
  <si>
    <t>Diputado de @CsCongreso por Zaragoza. Licenciado en Derecho y Economía. Abogado.</t>
  </si>
  <si>
    <t>http://aragon.ciudadanos-cs.org</t>
  </si>
  <si>
    <t>juan samaniego</t>
  </si>
  <si>
    <t>Hey @pablocasado_ y @albert_rivera Abstenerse ante la condena del franquismo,en el senado,para que salga votada faborable,demuestra que vivis del franquismo,por no deciros directamente que sois unos facistas de mierda</t>
  </si>
  <si>
    <t>para que triunfe el mal,basta que los hombres de bien,no hagan nada Edmund Burke</t>
  </si>
  <si>
    <t>José García</t>
  </si>
  <si>
    <t>Resulta que @PPopular y @CiudadanosCs se abstienen de condenar el franquismo en el Senado. Además esta mañana @Albert_Rivera se negó ante @PepaBueno a definir a @vox_es como extrema derecha...Todo muy claro y en orden</t>
  </si>
  <si>
    <t>OURENSE</t>
  </si>
  <si>
    <t>Trabajo en el SERVICIO GALEGO DE SAUDE (En lo que queda de él) Formo parte de colectivos en defensa de la sanidad y servicios públicos</t>
  </si>
  <si>
    <t>Increíble que nadie pueda poner fin a este despilfarro, mientras tantos miles de españoles están en la calle sin vivienda y sin alimentos... @pablocasado_ @Albert_Rivera @Ortega_Smith #SosEspaña</t>
  </si>
  <si>
    <t>https://pbs.twimg.com/media/Dsi5dANWwAA02hd.jpg</t>
  </si>
  <si>
    <t>Más comentados ahora en Derecha/Centro Dcha.: ➀ @sanchezcastejon ↑ ➁ @gabrielrufian ↓ ➂ @JosPastr ↓ ➃ @carrizosacarlos ↑ ➄ @InesArrimadas ↑ ➅ @CiudadanosCs ↑↑ ➆ @Albert_Rivera ↑ ➇ @CristinaSegui_ ↑↑ ➈ @jordi_canyas ↑↑↑</t>
  </si>
  <si>
    <t>Más influyentes ahora en Derecha/Centro Dcha.: ➀ @JosPastr ↓ ➁ @carrizosacarlos ↑ ➂ @Albert_Rivera ↑ ➃ @CristinaSegui_ ↑↑ ➄ @CiudadanosCs ↓ ➅ @jordi_canyas ↑↑↑ ➆ @Escribano_R ↑ ➇ @carmelojorda ↑↑↑ ➈ @FroilLannister ↑</t>
  </si>
  <si>
    <t>Elier</t>
  </si>
  <si>
    <t>unmundolibre</t>
  </si>
  <si>
    <t>Pues @Albert_Rivera ya tiene lo que quería, el Congreso lleno de bajeza moral y poca ética. Enhorabuena 👏👏👏</t>
  </si>
  <si>
    <t>Irónico es pedir a Albert Rivera que haga algo de forma urgente, que conteste "ahora me pongo" y que se quede ese 'algo' sin hacer.</t>
  </si>
  <si>
    <t>Desde el vertedero</t>
  </si>
  <si>
    <t>Donde tú ves fotos, yo veo memes… y soy un poco 'cabronsete'. Gabriel Rufián me robó un meme…</t>
  </si>
  <si>
    <t>Lezo</t>
  </si>
  <si>
    <t>Realista y de la Real. Responsable de administración en GDR Outsourcing y Gestión @checkinhm , @ameliarestauran y Administrativo de @bbva</t>
  </si>
  <si>
    <t>http://visionrealzale.blogspot.com.es/</t>
  </si>
  <si>
    <t>🍊Dani Iglesias Medina🇪🇸🇪🇺</t>
  </si>
  <si>
    <t>Que este individuo nos dé lecciones de democracia cuando se hace amigo de etarras me produce asco. En tu vida te vas a parecer a @Albert_Rivera. Ojalá haya más políticos de la talla de Albert Rivera. #TodosConJuan</t>
  </si>
  <si>
    <t>https://pbs.twimg.com/media/Dsi3p1eX4AAtoFA.jpg</t>
  </si>
  <si>
    <t>El Vendrell, España</t>
  </si>
  <si>
    <t>Técnico Superior de Guía, Inf. y Asist. Turística. Estudiante de Agencias de viajes De centro, reformista, liberal y progresista🎯 Ejecutiva de @CsElVendrell</t>
  </si>
  <si>
    <t>Dr. Verdad</t>
  </si>
  <si>
    <t>Qué se enteren @PSOE @sanchezcastejon @PPopular @pablocasado_ @CiudadanosCs @Albert_Rivera @ahorapodemos @Pablo_Iglesias_ RT @mlalanda: Huelga de AP en cataluña, huelga de AP en Andalucía, huelga de MIR Urgencias en 12 de Octubre....que estemos divididos en CCAA no significa que uno no pueda echar un vistazo general y darse cuenta que la-mejor-sanidad-del-mundo-mundial anda muy muy jodida.</t>
  </si>
  <si>
    <t>https://twitter.com/mlalanda/status/1065167563305431041</t>
  </si>
  <si>
    <t>En Twitter por mi mala cabeza</t>
  </si>
  <si>
    <t>Joaquín 🇪🇸🇪🇺♿</t>
  </si>
  <si>
    <t>Albert Rivera dice que llamar golpista “no es insultar, es describir” “ERC escupe cada día a la Constitución ya sea de manera física o de manera figurada”, señala el líder de Ciudadanos</t>
  </si>
  <si>
    <t>Ciudadanos y el PP se abstienen en el Senado la condena de franquismo  #tatarlak Sobran los comentarios sr @Albert_Rivera @pablocasado_ y sra @InesArrimadas</t>
  </si>
  <si>
    <t>https://www.lavanguardia.com/politica/20181122/453092011111/rivera-golpistas-describir-insultar.html</t>
  </si>
  <si>
    <t>https://m.eldiario.es/politica/PP-Ciudadanos-condenar-franquismo-Senado_0_838166777.html#click=https://t.co/0lb9EiEGHQ</t>
  </si>
  <si>
    <t>No eres lo que logras, eres lo que superas. Licenciado en Derecho. Exec. Máster Urbanismo y Ordenación del Territorio 'MUOT' (CEU)🍊💪</t>
  </si>
  <si>
    <t>Así va España</t>
  </si>
  <si>
    <t>El PSOE busca a Albert Rivera en el Congreso y le mandan un ZAS monumental</t>
  </si>
  <si>
    <t>Juan Fernandez</t>
  </si>
  <si>
    <t>A putearnos más... @PPopular @PSOE @CiudadanosCs Eso es intromisión en la vida privada y eso debería ser ilegal... #Contaminación #ContaminacionPolitica @pablocasado_ @Albert_Rivera y @sanchezcastejon Esas leyes no son normales... RT @iescolar: ÚLTIMA HORA | Aprobada con los votos de PP, PSOE y Cs la ley que permitirá a los partidos hacer 'spam' electoral al móvil y propaganda personalizada en Internet</t>
  </si>
  <si>
    <t>https://www.asivaespana.com/politica/el-psoe-busca-a-albert-rivera-en-el-congreso-y-le-mandan-un-zas-monumental</t>
  </si>
  <si>
    <t>https://twitter.com/iescolar/status/1065298269591560194
https://www.eldiario.es/tecnologia/Aprobada-permitira-partidos-electoral-consentimiento_0_837817043.html</t>
  </si>
  <si>
    <t xml:space="preserve">Cehegín (Murcia) España </t>
  </si>
  <si>
    <t>Intentado buscar la felicidad, perdiendo a momentos la ilusión, pero siempre y ante todo viviendo sin interntar hacer daño.</t>
  </si>
  <si>
    <t>https://m.facebook.com/?_rdr</t>
  </si>
  <si>
    <t>Política, sociedad, vergüenza ajena, curiosidades, gifs, memes... El lado cómico de nuestro país, que no es poco</t>
  </si>
  <si>
    <t>http://www.asivaespana.com</t>
  </si>
  <si>
    <t>CCT90</t>
  </si>
  <si>
    <t>La conciencia si os queda alguna ¿Os permite dormir por la noche? Que la vida os devuelva tanta mezquindad. @Albert_Rivera @InesArrimadas RT @jaumeclotet: Es pot no tenir decència. Es pot no tenir cap resta d’humanitat. I després, al final de tot, hi ha el partit ultra @CiudadanosCs.</t>
  </si>
  <si>
    <t>https://twitter.com/jaumeclotet/status/1065166166556123137?s=19</t>
  </si>
  <si>
    <t>Agitador Trotskista1</t>
  </si>
  <si>
    <t>https://pbs.twimg.com/media/Dsg6-jOWwAAkAKE.jpg</t>
  </si>
  <si>
    <t>Así de demócrata es mi pequeño País, es de todos.</t>
  </si>
  <si>
    <t>Gonçalo Van Der Maño</t>
  </si>
  <si>
    <t>Sinceramente, si las próximas elecciones no las gana @Albert_Rivera debería dejar el cargo. Los contrincantes que tiene son para sacar mayoría absoluta...</t>
  </si>
  <si>
    <t>Valencia -España</t>
  </si>
  <si>
    <t>Voy por libre , mi otra cuenta es @quetemuevas en ambas pienso y digo lo mismo</t>
  </si>
  <si>
    <t>Málaga, España</t>
  </si>
  <si>
    <t>I`m Batman</t>
  </si>
  <si>
    <t>http://www.starkindustries.com</t>
  </si>
  <si>
    <t>Herat</t>
  </si>
  <si>
    <t>Ahora resulta que sois fachas @Albert_Rivera 🤷 RT @ElHuffPost: ÚLTIMA HORA: El Senado condena al franquismo con la abstención del PP, Ciudadanos, UPN y Foro Asturias</t>
  </si>
  <si>
    <t>I dream of an africa which is in peace with itself ⵣ HirakMadrid. Sociología UCM</t>
  </si>
  <si>
    <t>jose luis uriz iglesias</t>
  </si>
  <si>
    <t>Ayer en mi memoria Franco, hoy Ernest Lluch 18 años después.Y las palabras de Gemma Nierga "ustedes que pueden dialoguen"  @pablocasado_ @Albert_Rivera</t>
  </si>
  <si>
    <t>ᴘᴇᴅʀɪᴛᴏ ᴇʟ ɢᴏʟᴘɪꜱᴛᴀ</t>
  </si>
  <si>
    <t>http://joseluisuriz.blogspot.com/2018/11/franco-lluch-un-ano-mas</t>
  </si>
  <si>
    <t>Villava Navarra</t>
  </si>
  <si>
    <t>Expulsado PSOE por intentar la paz, creer en el diálogo el entendimiento entre diferentes y defender los principios básicos de izquierda.Ahora milito en PSC</t>
  </si>
  <si>
    <t>http://joseluisuriz.blogspot.com.es/</t>
  </si>
  <si>
    <t>Fake / Parodia</t>
  </si>
  <si>
    <t>Doctor Fraude // Odio Eterno a la Democracia y a la Separación de Poderes // Antiespañol por los cuatro costados.</t>
  </si>
  <si>
    <t>Es lo que tiene inventarse cosas que no son. Lo mismo que tus piedras de Alsasua. Tampoco aparecieron. @Albert_Rivera RT @Albert_Rivera: Sánchez no ve rebelión, no ve escupitajos, no ve insultos... solo ve indultos para sus socios separatistas. Vamos a tener que poner el VAR y el ojo de halcón para que se entere de lo que son capaces de hacer sus aliados contra España.</t>
  </si>
  <si>
    <t>carmen rodriguez</t>
  </si>
  <si>
    <t>Ya se lo has advertido @Albert_Rivera y todos lo saben. No sigas por esa senda hasta que salga el juicio y sean inculpados. En el supuesto que @sanchezcastejon que no tiene palabra se le ocurriera indultarlos, somos millones de españoles que saldríamos a la calle para impedirlo. RT @Albert_Rivera: 🏛 Una nación decente no promete ni regala impunidad a quienes intentan liquidar la democracia. Señores del PSOE y de Podemos, ¿ustedes hubieran indultado a Tejero? Nosotros nunca. ¿Por qué quieren indultar a los golpistas separatistas? #STOPIndultos</t>
  </si>
  <si>
    <t>https://twitter.com/Albert_Rivera/status/1064950502423740417</t>
  </si>
  <si>
    <t>https://pbs.twimg.com/media/Dsds1VLXcAA3Ud5.jpg</t>
  </si>
  <si>
    <t>barcelona (Spain)</t>
  </si>
  <si>
    <t>Xiqui</t>
  </si>
  <si>
    <t>Pelea entre Pablo Casado y Albert Rivera en un supermercado ......para ver quien es mas fascista !!👇</t>
  </si>
  <si>
    <t>pic.twitter.com/KdXM1nCdgu</t>
  </si>
  <si>
    <t>Som República . No a la repressió / no presos politics . LLIBERTAT !!</t>
  </si>
  <si>
    <t>Carmen H😜</t>
  </si>
  <si>
    <t>Simbaad</t>
  </si>
  <si>
    <t>Gran hombre @JoanTarda reprimiendo al FASCISTA @Albert_Rivera que si se fijan bien babea cada vez que le llaman FASCISTA. RT @Cazatalentos: Joan Tardá reprime al demagogo Albert Rivera: ¡FAS-CIS-TA!</t>
  </si>
  <si>
    <t>https://twitter.com/Cazatalentos/status/1064955062957600768</t>
  </si>
  <si>
    <t>pic.twitter.com/6kZHNAdNJ7</t>
  </si>
  <si>
    <t>No, no soy diplomado, licenciado ni doctorado ni tengo master alguno que esconder. Aprendiz de aprendiz cometiendo errores. Ese soy yo, tal cual. Intentándolo</t>
  </si>
  <si>
    <t>Me gusta un buen libro, las series de televisión, una buena película y dar largas caminatas.Vivir a tope que el tiempo es más corto de lo que parece.</t>
  </si>
  <si>
    <t>Más comentados ahora en Derecha/Centro Dcha.: ➀ @gabrielrufian ↑ ➁ @sanchezcastejon ↓ ➂ @JosPastr ↓ ➃ @carrizosacarlos ↓ ➄ @Albert_Rivera ↓ ➅ @PSOE ↓ ➆ @javiernegre10 ↓ ➇ @PPopular ↑ ➈ @InesArrimadas ↓ ➉ @Escribano_R ↓</t>
  </si>
  <si>
    <t>jose antonio gomez s</t>
  </si>
  <si>
    <t>Más influyentes ahora en Derecha/Centro Dcha.: ➀ @JosPastr ↓ ➁ @carrizosacarlos ↓ ➂ @Albert_Rivera ↓ ➃ @javiernegre10 ↑↑↑ ➄ @Escribano_R ↓ ➅ @Anonymus_ES ↓ ➆ @FroilLannister ↓ ➇ @europapress ↑ ➈ @Schuma78 ↓</t>
  </si>
  <si>
    <t>🗞️ @Albert_Rivera "A Sánchez no le importan los autónomos ni el IRPF, si no formar una mayoría política a cambio de indultos" Más info 👉🏻</t>
  </si>
  <si>
    <t>http://bit.ly/2S4lag0</t>
  </si>
  <si>
    <t>https://pbs.twimg.com/media/DsijLo9WsAEbgsL.jpg</t>
  </si>
  <si>
    <t>Jaime Vaca</t>
  </si>
  <si>
    <t>Muy expectante y muy interesado por conocer el argumento de @CiudadanosCs para su abstención a la propuesta de rechazo del franquismo en el Senado (ya lo de @Albert_Rivera diciendo que él no califica a VOX de extrema derecha porque no es analista, lo dejo para otro momento).</t>
  </si>
  <si>
    <t>Batiburrillo de todo porque sí. Así soy yo. Coordinador de Guión de “Élite” (T2). Creador de “La otra mirada” y más cosinas que salen en la IMDb.</t>
  </si>
  <si>
    <t>http://www.imdb.com/rg/em_share/rt_iphone/name/nm2268479</t>
  </si>
  <si>
    <t>Xavi Ripoll</t>
  </si>
  <si>
    <t>- Los duendes. - La niña de la curva. - Yeti. El hombre de las nieves. - El monstruo del lago Ness. - El chupacabras. - Las piedras a Albert Rivera. - El escupitajo a Borrell.</t>
  </si>
  <si>
    <t>AJV-VAL</t>
  </si>
  <si>
    <t>Lástima que @CsCValenciana se posicionara contra #DretCivilValencià que posibilita muchos derechos para #LGTBI en materia sucesoria, de uniones de hecho,,, y que tienen otras 6 Comunidades por ejemplo @Albert_Rivera ! Que @CsCValenciana no discrimine a l@s #LGTBI valencian@s! RT @emilio_argueso: Hoy la Comunitat ha vuelto a hacer historia en materia de Igualdad #LGTBI . Ha salido adelante en @cortsval, con la abstención del #PP, una ley que otorga derechos a las personas y garantizará que la sociedad valenciana sea más abierta, diversa y plural 👭👬#PleCorts #LeyLGTBI</t>
  </si>
  <si>
    <t>https://twitter.com/emilio_argueso/status/1065281947331686402</t>
  </si>
  <si>
    <t>https://pbs.twimg.com/media/DsikR0LW0AA_Oec.jpg</t>
  </si>
  <si>
    <t>Nacionalitat històrica Valenciana</t>
  </si>
  <si>
    <t>Ronda y Rosa de Foc</t>
  </si>
  <si>
    <t>Associació Juristes Valencians</t>
  </si>
  <si>
    <t>Muerto estas mejor que acorralado en un rincón. Tu silencio es tu derrota.</t>
  </si>
  <si>
    <t>http://www.ajv-val.org</t>
  </si>
  <si>
    <t>Yossi Barzilai</t>
  </si>
  <si>
    <t>¿SÍ o NO, .@Albert_Rivera ? ¿Es .@vox_es una agrupación fascista ? Es muy sencillo. Te manifiestas siempre menos cuando te preguntan esto. Quien calla otorga y tú te quedas cada vez más solo. Céntrate Albert. .@vox_es es FASCISMO de la peor calaña. RT @Albert_Rivera: Sánchez no ve rebelión, no ve escupitajos, no ve insultos... solo ve indultos para sus socios separatistas. Vamos a tener que poner el VAR y el ojo de halcón para que se entere de lo que son capaces de hacer sus aliados contra España.</t>
  </si>
  <si>
    <t xml:space="preserve">Spain France ישראל Россия </t>
  </si>
  <si>
    <t>#Translator #Language teacher Pop culture freak. Let's talk about #books #movies #tv #music #videogames &amp; all that jazz. Animal lover and coffee addict</t>
  </si>
  <si>
    <t>http://mi-estanteria.blogspot.com</t>
  </si>
  <si>
    <t>PSPV-PSOE València</t>
  </si>
  <si>
    <t>¿Competición hacia la extrema derecha? El problema ya no es que aparezcan los extremismos, sino que partidos como Cs sean incapaces de deslegitimarlos. Albert Rivera elude calificar a Vox como partido de extrema derecha: ‘eso se lo dejo a ustedes’.</t>
  </si>
  <si>
    <t>El Periodico El Mundo una vez más tergiversa, distorciona y miente, y para no hacer menos el señor @Albert_Rivera repica de inmediato, elevando la mentira. RT @AlvaroLario: Mensaje del presidente: "Me gustaría empezar mostrando toda mi solidaridad con el ministro Borrell, que ha tenido que soportar palabras y gestos inaceptables". Algún día @elmundoes volverá a publicar titulares con la pretensión de informar y no de machacar a Sánchez.</t>
  </si>
  <si>
    <t>https://twitter.com/AlvaroLario/status/1065280826496167936
https://twitter.com/elmundoes/status/1065256158972260353</t>
  </si>
  <si>
    <t>Blanquerías,Valencia, Spain</t>
  </si>
  <si>
    <t>Treballant #PerValència des del Govern de La Nau. Demostrem que #ElCanviFunciona.</t>
  </si>
  <si>
    <t>http://www.pspv-psoevalencia.org</t>
  </si>
  <si>
    <t>Luis</t>
  </si>
  <si>
    <t>Llámame avispado si quieres, pero está diciendo @CiudadanosCs que @Albert_Rivera es un estadista? Ni m'ho puc creure. 😂😂😂😂😂😂😂😂 RT @CiudadanosCs: ❓ ¿Sabes cuál es la diferencia entre un estadista y un oportunista? 👉 El estadista respeta una sentencia judicial, en cambio un oportunista solo cuenta escaños. 📽 Así lo ha explicado @Albert_Rivera en el @Congreso_Es defendiendo la Ley de Cs de #STOPIndultos</t>
  </si>
  <si>
    <t>Pedro Castro Vázquez</t>
  </si>
  <si>
    <t>https://twitter.com/CiudadanosCs/status/1064970053798498309</t>
  </si>
  <si>
    <t>pic.twitter.com/DbHOi11xcy</t>
  </si>
  <si>
    <t>Al final, guanyarem. 💪💪💪</t>
  </si>
  <si>
    <t>Getafe</t>
  </si>
  <si>
    <t>Fue Alcalde del Ayuntamiento de Getafe, ciudad que ha ocupado y ocupa mi vida y mis pensamientos</t>
  </si>
  <si>
    <t>http://www.pedrocastro.es</t>
  </si>
  <si>
    <t>👉🏻 Este sábado, 24 de noviembre, @ESPCiudadana organiza su séptimo acto en #Madrid con la presencia de @Albert_Rivera para decir alto y claro: 'No a los indultos'. Recuerda; #SaveTheDate 📆</t>
  </si>
  <si>
    <t>https://pbs.twimg.com/media/DsijquTWoAATw6_.jpg</t>
  </si>
  <si>
    <t>Llenyataire</t>
  </si>
  <si>
    <t>Algún día, el @PSOE y @sanchezcastejon , explicarán el favor que debían a saber quién para hacer a @JosepBorrellF ministro @MAECgob . Una mala persona, una persona mala, q junto a @Albert_Rivera y @pablocasado_ , forman parte del peor fascismo posible.</t>
  </si>
  <si>
    <t>Tirso Miranda Perez</t>
  </si>
  <si>
    <t>Albert Rivera, en el 2017: "Montar un autobús no es hacer oposición, es un show"</t>
  </si>
  <si>
    <t>Com a bon ECOllenyataire, em dedico a tallar tuits, no arbres! No anem enlloc dividits o volguent imposar només una visió.</t>
  </si>
  <si>
    <t>David Urlanga Salas</t>
  </si>
  <si>
    <t>Pues nada, aquí el @PPopular de @pablocasado_ y @Albert_Rivera con sus @CiudadanosCs sin condenar la dictadura franquista. Eso sí, pidiendo elecciones, que son ellos muy demócratas.</t>
  </si>
  <si>
    <t>https://pbs.twimg.com/media/DsiinWHXcAUDf-G.jpg</t>
  </si>
  <si>
    <t>Miguel Braña</t>
  </si>
  <si>
    <t>.@pablocasado_ @Albert_Rivera, sois muy tontos y no habéis cogido un libro en vuestra puta bida.</t>
  </si>
  <si>
    <t>Worldwide 📍</t>
  </si>
  <si>
    <t>Dulce y árido. Digital Creative Cuentacuentos. Mucho no te escucho, así es mucho más chachi.</t>
  </si>
  <si>
    <t>exAbertzale</t>
  </si>
  <si>
    <t>Felicidades @Albert_Rivera. El fascismo nazionalista supremacista es un peligro para cualquier democracia y la UE RT @Albert_Rivera: 🎥 Hoy los socios separatistas del PSOE han escupido a España. Mientras Sánchez les promete indultos, nosotros hemos salido a defender a Borrell. ¿Hasta cuándo piensa permitir estas humillaciones al pueblo español? #EleccionesYa @120minutosTM</t>
  </si>
  <si>
    <t>Ayúdenme que me estoy liando.. Osea que Albert Rivera llama golpistas a los indepentistas sin serlo,mientras su partido se abstiene de condenar el franquismo que si lo fué ...es eso más o menos no?</t>
  </si>
  <si>
    <t>twitter para informar d las noticias q importan :no las cortinas de humo que nos venden</t>
  </si>
  <si>
    <t>Laiuns🎗</t>
  </si>
  <si>
    <t>Quina mena de política fas tu? @Albert_Rivera #vergonya RT @CiudadanosCs: 🚌🇪🇸 El autobús de @ESPCiudadana ha estado en el @Congreso_Es para repartir información sobre la manifestación "STOP Sánchez, Elecciones ya". ❌ ¡Digamos NO a los indultos! 📸 Te dejamos aquí unas fotos del momento.</t>
  </si>
  <si>
    <t>Catalana, esportista i enamorada de la muntanya. M’agrada molt la fotografia ergo m’encanta fer fotos (de postes sobretot). Metreimig. Aries. Vivint la laif</t>
  </si>
  <si>
    <t>JavierRuiz</t>
  </si>
  <si>
    <t>Siempre nos molesta que nos digan aquello que somos, espero que no sea vuestro caso @JoanTarda @rufian @Albert_Rivera</t>
  </si>
  <si>
    <t>Hoy que @Albert_Rivera no ha querido calificar de extrema derecha a VOX y ha vuelto a no condenar al franquismo en el Senado, se hace menester recordar al infame de @jordi_canyas cuando insultó y despreció a @LaFallaras por criticar ésta que se manifestaran con los fascistas.</t>
  </si>
  <si>
    <t>Que dice Albert Rivera que el no escupitajo fue un escupitajo a España. Este hombre desea una desgracia como lluvia del cielo.</t>
  </si>
  <si>
    <t>Bea#QueremosJusticia</t>
  </si>
  <si>
    <t>Muchas gracias. @Albert_Rivera por el detalle, has conseguido sacarme una sonrisa, en estos días tan grises. Lástima q en cartero se me haya cargado la foto, metiendomela en el buzón @CiudadanosCs @ESPCiudadana</t>
  </si>
  <si>
    <t>https://pbs.twimg.com/media/DsigaBzXgAAVBmP.jpg</t>
  </si>
  <si>
    <t>Zaragoza</t>
  </si>
  <si>
    <t>Querer es poder! Ambiciosa, incesante, luchadora #niolvidoniperdono #QueremosJusticia @P_AragonesaN, @Stop SucesionesA, AVT mis grandes luchas 💪</t>
  </si>
  <si>
    <t>QueTePPires</t>
  </si>
  <si>
    <t>Que te puedes esperar de @CiudadanosCs @InesArrimadas @GirautaOficial @lugaricano @Albert_Rivera etc... El cambio sensato ??? RT @iescolar: ÚLTIMA HORA | PP y Ciudadanos se abstienen en la condena del Senado al franquismo un día después del 20N</t>
  </si>
  <si>
    <t>amparameque</t>
  </si>
  <si>
    <t>(A) . No me creo nada . (A)</t>
  </si>
  <si>
    <t>El derecho y el deber, son como palmeras: no dan fruto si no crecen uno al lado del otro.</t>
  </si>
  <si>
    <t>Más comentados ahora en Derecha/Centro Dcha.: ➀ @JosPastr ↓ ➁ @sanchezcastejon ↑ ➂ @carrizosacarlos ↓ ➃ @gabrielrufian ↓ ➄ @Escribano_R ↓ ➅ @InesArrimadas ↑ ➆ @Albert_Rivera ↑ ➇ @Anonymus_ES ↑ ➈ @PSOE ↑</t>
  </si>
  <si>
    <t>Fachilla De pueblo</t>
  </si>
  <si>
    <t>Jejejejejejeejejejejejeje jodido @Albert_Rivera</t>
  </si>
  <si>
    <t>https://pbs.twimg.com/media/Dsic811WwAAKiZA.jpg</t>
  </si>
  <si>
    <t>celes1646@gmail.com</t>
  </si>
  <si>
    <t>Albert Rivera propondrá que los nacionalistas tengan un 3% de los votos para entrar en el Congreso  vía @elmundoes @BurgoVega. Totalmente de acuerdo éstos tipos Convierten la Cámara Baja en su Circo particular. Como siempre el Sr. Sanchez Abajo Pantalones👖</t>
  </si>
  <si>
    <t>Llanos del Caudillo, España</t>
  </si>
  <si>
    <t>Ni de izquierdas ni de derechas, sentido común</t>
  </si>
  <si>
    <t>Leganés, Comunidad Madrid GOYA</t>
  </si>
  <si>
    <t>Más influyentes ahora en Derecha/Centro Dcha.: ➀ @JosPastr ↓ ➁ @carrizosacarlos ↓ ➂ @Escribano_R ↓ ➃ @Albert_Rivera ↑ ➄ @Anonymus_ES ↑ ➅ @MariaJamardoC ↑↑ ➆ @FroilLannister ↓ ➇ @Schuma78 ↑ ➈ @Alvisepf ↓</t>
  </si>
  <si>
    <t>@GOYA OK. GOYA OK.</t>
  </si>
  <si>
    <t>David EF</t>
  </si>
  <si>
    <t>Albert Rivera: "Con lo de ayer se ha escupido a España"  vía @elespanolcom</t>
  </si>
  <si>
    <t>https://www.elespanol.com/espana/20181122/albert-rivera-ayer-escupido-espana/355214760_0.html</t>
  </si>
  <si>
    <t>Jaume Asens</t>
  </si>
  <si>
    <t>Eh, @Albert_Rivera, si no os gusta q os llamen fascistas podriaís condenar el franquismo. Es solo una idea.</t>
  </si>
  <si>
    <t>Funcionario del @MADRID # La verdad es la más peligrosa de las ilusiones # De @CiudadanosCs En @Cs_Madrid y @CsMadridCiudad</t>
  </si>
  <si>
    <t>https://pbs.twimg.com/media/DsickEcXcAEgXkO.jpg</t>
  </si>
  <si>
    <t>Advocat. Tinent-Alcalde BCN. Drets Ciutadania. Transparència. Ciutat Refugi. Cultura. Esports. Regidor Sarrià S.Gervasi http://www.facebook.com/jaumeasens</t>
  </si>
  <si>
    <t>http://www.nohihadret.cat/</t>
  </si>
  <si>
    <t>canturri #Tram31🎗</t>
  </si>
  <si>
    <t>Y la condena?? O ya la conocen?? ... porque la verguenza se ve que aún no @CiutadansBCN @CiudadanosCs @Albert_Rivera y luego , l@s cuña@s de paseo</t>
  </si>
  <si>
    <t>Fran</t>
  </si>
  <si>
    <t>https://pbs.twimg.com/media/DsibdFpXcAAoS7w.jpg</t>
  </si>
  <si>
    <t>Albert Rivera dice que llamar golpista “no es insultar, es describir” @lavanguardia  ..y decir burradas como esa no es ignorancia -no descartable por otro lado- sino mala fe...</t>
  </si>
  <si>
    <t>catalunya</t>
  </si>
  <si>
    <t>Activista social i sindicalista de #ccoocatalunya. Independentista català, #indepesCCOO,#Dracs1991,#NE i Soci #FCB. Enginyer informàtic x la FiB. Claustral UPC.</t>
  </si>
  <si>
    <t>http://resonanciasocial.wordpress.com</t>
  </si>
  <si>
    <t>Semper in nubibus.</t>
  </si>
  <si>
    <t>Despotismo parlamentario: todo por el demos...pero sin el demos. No quiero romper huevos, solo comer tortilla. No compro dogmas disfrazados de axiomas.</t>
  </si>
  <si>
    <t>PL P</t>
  </si>
  <si>
    <t>Rivas Vaciamadrid</t>
  </si>
  <si>
    <t>Madrileño de adopción, nacido en Herrera de Pisuerga (Palencia)</t>
  </si>
  <si>
    <t>http://gmail.com</t>
  </si>
  <si>
    <t>Sergio González</t>
  </si>
  <si>
    <t>Por favor vean esto. Tómense los 3 minutos. Verán la realidad!!!! @CiudadanosCs @vox_es @Albert_Rivera @InesArrimadas @Santi_ABASCAL no van a luchar contra esto? Van a dejar a @PSOE y @ahorapodemos para que muera gente? RT @raclo33: BRUTAL!! 🚨🚨📢📢Lo que SUSANA DÍAZ no quiere que oigas!! Jesús Candel, Médico de Urgencias del Hospital Universitario San Cecilio de Granada, nos cuenta la realidad de la Sanidad Publica Andaluza, tras 40 años de Socialismo. 👇👇</t>
  </si>
  <si>
    <t>https://twitter.com/raclo33/status/1064835986532851712
https://www.youtube.com/watch?v=pd-Byk60-2I&amp;t</t>
  </si>
  <si>
    <t>pic.twitter.com/n03ukAGrhm</t>
  </si>
  <si>
    <t>Ingeniero civil, curioso, algo no encaja en toda la composición universal.</t>
  </si>
  <si>
    <t>Marcos Manuel López</t>
  </si>
  <si>
    <t>Es lo mínimo. Albert Rivera propondrá que los nacionalistas tengan un 3% de los votos para entrar en el Congreso  vía @elmundoes</t>
  </si>
  <si>
    <t>jug0n</t>
  </si>
  <si>
    <t>Vaya hombre, @Albert_Rivera no tiene problema en calificar otros partidos políticos, pero cuando llega la hora de decir algo de vox, no habla... como era el refrán? Perro no come perro?</t>
  </si>
  <si>
    <t>Madrid, España, U.E.</t>
  </si>
  <si>
    <t>"Los nacionalismos son la cuna de los fascismos". E.Tierno Galván Socialdemócrata y por tanto anticomunista. Yo voté la Constitución 1978.</t>
  </si>
  <si>
    <t>Juegos de mesa, rap, informática y cerveza. What else? Ah, sí, cómics.</t>
  </si>
  <si>
    <t>CsMadrid Carabanchel</t>
  </si>
  <si>
    <t>📰 @Albert_Rivera "@pablocasado_ y @sanchezcastejon son como Pimpinela, se pelean en público pero son amigos. Es puro teatro" @europapress</t>
  </si>
  <si>
    <t>https://m.europapress.es/andalucia/noticia-rivera-ve-sanchez-pge-protagonista-aterrizacomo-puedas-pide-no-marear-sacar-urnas-20181117144044.html</t>
  </si>
  <si>
    <t>Perfil oficial de @CsMadridCiudad en distrito de Carabanchel. También en Facebook: https://m.facebook.com/Ciudadanos-Cs-Madrid-Carabanchel-410913155768649/</t>
  </si>
  <si>
    <t>Amazing</t>
  </si>
  <si>
    <t>Sara Martin</t>
  </si>
  <si>
    <t>¿Y que hacia @Albert_Rivera en la radio cuando había pleno en el @Congreso_Es? 😱😱😱😱😱 RT @La_SER: Albert Rivera evita calificar a Vox como un partido de ultraderecha La entrevista completa del líder de @CiudadanosCs en @HoyPorHoy con @PepaBueno →</t>
  </si>
  <si>
    <t>Observador, que se fija. Ldo. Derecho, interesado en Filosofía, Ciencia y Cultura. Practico yoga, natación, boxeo y sobre todo lectura. A veces la ironía</t>
  </si>
  <si>
    <t>Naci el mismo dia que Grace Kelly,tiempo despues,claro y todo el mundo coincide en que no nos parecemos.Marditohoroscopo.Ahora en Madrid!!</t>
  </si>
  <si>
    <t>http://manutenorio2.blogspot.com/</t>
  </si>
  <si>
    <t>Ciudadanos Madrid</t>
  </si>
  <si>
    <t>#SaveTheDate 📆 El próximo sábado día 24 te esperamos en #Madrid con @Albert_Rivera y la @ESPCiudadana para alzar la voz contra el gobierno de @sanchezcastejon. 💪 ¡No queremos indultos a golpistas... 🗳 ...queremos #EleccionesYA!</t>
  </si>
  <si>
    <t>https://pbs.twimg.com/media/DsdI4_9XQAAERuS.jpg</t>
  </si>
  <si>
    <t>Perfil oficial de @CiudadanosCs en la COMUNIDAD de MADRID. 📲 Conecta en Facebook: http://bit.ly/FBCsMad y Telegram: https://t.me/CsMadrid 🍊</t>
  </si>
  <si>
    <t>http://asamblea-madrid.ciudadanos-cs.org/</t>
  </si>
  <si>
    <t>Carmelafresca2017</t>
  </si>
  <si>
    <t>A veces sueño que @JosepBorrellF @pablocasado_ @Albert_Rivera se comportan como personas y no como aquel leño que cada vez que hablaba le crecía la nariz. Pero ya se sabe, los sueños, sueños son.</t>
  </si>
  <si>
    <t>Comparto lo que creo que se debe saber, no quiere decir que esté de acuerdo. Cuando algo me gusta mucho doy un♥️</t>
  </si>
  <si>
    <t>#España ⏩ VÍDEO - @JosepBorrellF denuncia que un diputado de ERC le ha escupido en el Pleno del Congreso y el partido lo niega @Albert_Rivera @anapastorjulian @CiudadanosCs</t>
  </si>
  <si>
    <t>http://www.lacerca.com/noticias/espana/borrell-diputado-erc-le-escupido-congreso-partido-niega-445968-1.html</t>
  </si>
  <si>
    <t>chica de la curva</t>
  </si>
  <si>
    <t>mi chiste favorito es pablo casado y albert rivera metiéndose con pedro sánchez por ir a cuba mientras ellos son unos fachas de mierda</t>
  </si>
  <si>
    <t>Sevilla🌈 San</t>
  </si>
  <si>
    <t>saliendo de la estupefacción</t>
  </si>
  <si>
    <t>http://instagram.com/_chicadelacurva</t>
  </si>
  <si>
    <t>Juan José Carnerero</t>
  </si>
  <si>
    <t>El Sr @Albert_Rivera ha calificado al PSOE de golpistas, proetarras, gobierno Frankenstein, populistas, radicales, okupas... Sin embargo, evita calificar a VOX de ultraderecha</t>
  </si>
  <si>
    <t>pic.twitter.com/XDgRXf7EP9</t>
  </si>
  <si>
    <t>Eugenio</t>
  </si>
  <si>
    <t>Natural de #LaRodadeAndalucía (Sevilla). Portavoz y Secretario General de @larodapsoe LADE y Economía Social</t>
  </si>
  <si>
    <t>ratolidelespai</t>
  </si>
  <si>
    <t>Los fachas de @Albert_Rivera y @pablocasado_ se niegan a condenar el #franquismo</t>
  </si>
  <si>
    <t>Si fa sol, do re mi, do re mi</t>
  </si>
  <si>
    <t>David Molero</t>
  </si>
  <si>
    <t>Hola @InesArrimadas y @Albert_Rivera RT @jordiborras: Aquesta nit han rebut atacs amb pintura les seus d'Òmnium, CUP, Ateneu la Sèquia de Manresa, CUP de l'Hospitalet de Llobregat i les del PDeCAT, Terrassa en Comú, ERC i ANC de Terrassa. Però com que no n'hi ha cap de Ciutadans això NO ho veureu a la TV espanyola #AlertaUltra</t>
  </si>
  <si>
    <t>https://twitter.com/jordiborras/status/1065207080410365952</t>
  </si>
  <si>
    <t>Viladecans</t>
  </si>
  <si>
    <t>Intento ganarme la vida comunicando. Aquí expreso mis opiniones personales.</t>
  </si>
  <si>
    <t>Más comentados ahora en Derecha/Centro Dcha.: ➀ @JosPastr ↑ ➁ @gabrielrufian ↓ ➂ @sanchezcastejon ↓ ➃ @Albert_Rivera ↓ ➄ @carrizosacarlos ↑ ➅ @Escribano_R ↑ ➆ @FroilLannister ↑ ➇ @InesArrimadas ↓ ➈ @PSOE ↓</t>
  </si>
  <si>
    <t>Pepesan</t>
  </si>
  <si>
    <t>http://flip.it/1tmw_0</t>
  </si>
  <si>
    <t>Consultor, Programador y Formador especializado en Software Libre. Blog http://dvaquero.blogspot.com.es/</t>
  </si>
  <si>
    <t>http://es.linkedin.com/in/davidvaquero</t>
  </si>
  <si>
    <t>Más influyentes ahora en Derecha/Centro Dcha.: ➀ @JosPastr ↑ ➁ @Albert_Rivera ↓ ➂ @carrizosacarlos ↑ ➃ @Escribano_R ↑ ➄ @FroilLannister ↑ ➅ @Anonymus_ES ↑ ➆ @ldpsincomplejos ↑ ➇ @Alvisepf ↑ ➈ @Miotroyo2parte ↓</t>
  </si>
  <si>
    <t>Hels 💛</t>
  </si>
  <si>
    <t>Un fascista es alguien que quiere anular la opinión de otros en vez de rebatirla. Un fascista es alguien que no condena firmemente la dictadura franquista. Un fascista es alguien que quiere controlar la libertad de expresión en redes y medios. @Albert_Rivera eres un FASCISTA</t>
  </si>
  <si>
    <t>Cataluña, España</t>
  </si>
  <si>
    <t>Mujer, catalana y en lucha. “Esnifar los rayos de Sol y descongelar el cerebro, y sentir... que no estamos muertos”</t>
  </si>
  <si>
    <t>Sallymac 💜</t>
  </si>
  <si>
    <t>Clarito @Albert_Rivera, él se dedica a ganar las elecciones, dice. Por eso evita llamar fascistas a potenciales votantes y futuros socios. RT @La_SER: Albert Rivera evita calificar a Vox como un partido de ultraderecha La entrevista completa del líder de @CiudadanosCs en @HoyPorHoy con @PepaBueno →</t>
  </si>
  <si>
    <t>County Hell</t>
  </si>
  <si>
    <t>Artist sounds too pretentious... but what the f</t>
  </si>
  <si>
    <t>Cs Villalbilla</t>
  </si>
  <si>
    <t>⛺Desde @CsVillalbilla queremos agradecer a los vecinos de #Villalbilla el haber compartido esta gratificante experiencia. Seguiremos trabajando para los vecinos en todos los ámbitos y en todas sus necesidades. @Albert_Rivera @ignacioaguado @j_manuelsalaz</t>
  </si>
  <si>
    <t>http://www.eltelescopiodigital.com/index.php/es/corredornews/corredor-del-henares/villalbilla/60647-cs-consigue-150-kilos-de-alimentos-en-su-carpa-solidaria-de-villalbilla.html</t>
  </si>
  <si>
    <t>Villalbilla</t>
  </si>
  <si>
    <t>Perfil oficial de @Cs_Madrid en VILLALBILLA. Conecta también en Facebook 📲🍊https://www.facebook.com/Ciudadanos-Cs-Villalbilla-740644196022313/?fref=ts</t>
  </si>
  <si>
    <t>Guillem</t>
  </si>
  <si>
    <t>Que daño hacen los abusos ¿verdad que ahora se entiende la huida de @Albert_Rivera en el aeropuerto de Barcelona?, verdad que sí. #ElPSOEDaSeguridad #PSOEGeneraConfianza #GPEDROSC</t>
  </si>
  <si>
    <t>https://m.eldiario.es/politica/Rivera-catalogar-Vox-extremadrecha-analista_0_838166254.html#click=https://t.co/w4sRPnWy1n</t>
  </si>
  <si>
    <t>L'Hospitalet de Llobregat</t>
  </si>
  <si>
    <t>#LaJusticiaNoesIgualParaTodos La libertad no hace a las personas más felices, las hace, sencillamente personas.</t>
  </si>
  <si>
    <t>MónicaMr</t>
  </si>
  <si>
    <t>No condenan el franquismo, pero andan como locos detrás "de los golpistas catalanes". No tenéis rostro ni na'! @CiudadanosCs @PPopular @Albert_Rivera @pablocasado_ RT @iescolar: ÚLTIMA HORA | PP y Ciudadanos se abstienen en la condena del Senado al franquismo un día después del 20N</t>
  </si>
  <si>
    <t>JavierCrespoPistoni</t>
  </si>
  <si>
    <t>Ivis Vásquez</t>
  </si>
  <si>
    <t>Si el partido es de izquierda o es independentista: “populistas, come niños, golpistas”, etc. Pero si el partido es fascista, xenófobo, ultranacionalista como él: “yo no soy analista político”. Que asco @Albert_Rivera que asco @CiudadanosCs RT @La_SER: Albert Rivera evita calificar a Vox como un partido de ultraderecha La entrevista completa del líder de @CiudadanosCs en @HoyPorHoy con @PepaBueno →</t>
  </si>
  <si>
    <t>Arquitectura y Ahorro Energético. Ciudadanos. Sedaví. El Perellonet.</t>
  </si>
  <si>
    <t>http://www.ieevalencia.org</t>
  </si>
  <si>
    <t>Honduras</t>
  </si>
  <si>
    <t>📕Historiador. Maestría en Comunicación Corporativa (Especialización en Periodismo, Funciones y Medios). De Izquierdas. Sin dioses, diablos, infiernos nicielos</t>
  </si>
  <si>
    <t>Flipato</t>
  </si>
  <si>
    <t>el escupitajo es tan real como las piedras de @Albert_Rivera , las que dice que le tiraron, no otras piedras.</t>
  </si>
  <si>
    <t>Disculpen si les llamo caballeros, pero es que no les conozco muy bien.</t>
  </si>
  <si>
    <t>Javier Ceruti</t>
  </si>
  <si>
    <t>https://pbs.twimg.com/media/DsiJwU-X4AAbeU3.png</t>
  </si>
  <si>
    <t>Santander, Cantabria, España.</t>
  </si>
  <si>
    <t>Abogado. Mediador. Reservista Voluntario de la Armada. Enredado en la defensa del patrimonio cultural y natural: ¡a ver si le dejamos algo a Juan!</t>
  </si>
  <si>
    <t>Juan Sanchez</t>
  </si>
  <si>
    <t>Albert Rivera propondrá que los nacionalistas tengan un 3% de los votos para entrar en el Congreso @elmundoes</t>
  </si>
  <si>
    <t>Jaime Cuadros</t>
  </si>
  <si>
    <t>Bruselas desmonta punto por punto los Presupuestos Fake de Sánchez. @Albert_Rivera ya lo decía 👇</t>
  </si>
  <si>
    <t>https://amp.elmundo.es/economia/macroeconomia/2018/11/21/5bf542fa46163f8e9e8b4669.html</t>
  </si>
  <si>
    <t>pic.twitter.com/Hz4D6jOQv5</t>
  </si>
  <si>
    <t>Médico.Español por encima de http://todo.Católico</t>
  </si>
  <si>
    <t>España/ Madrid</t>
  </si>
  <si>
    <t>Miembro de la Junta Directiva y Responsable de Comunicación de @CsMajadahonda . Estudiante de ADE, liberal y progresista.</t>
  </si>
  <si>
    <t>mo'better</t>
  </si>
  <si>
    <t>Resulta que @CiudadanosCs @Albert_Rivera para unas cosas "no es analista político" pero para otras, desvaríos incluidos como llamar golpistas a quien le parece, si lo es @eldiarioes RT @iescolar: Rivera evita catalogar a Vox como un partido de extremaderecha: "No soy analista político"</t>
  </si>
  <si>
    <t>https://twitter.com/iescolar/status/1065162412914106368
https://www.eldiario.es/politica/Rivera-catalogar-Vox-extremadrecha-analista_0_838166254.html</t>
  </si>
  <si>
    <t>El pensamiento nos hará libres...</t>
  </si>
  <si>
    <t>Dexter Te Necesito</t>
  </si>
  <si>
    <t>He visto el hastag #InteligenciaArtificial y pensé que hablaban de @Albert_Rivera pero luego he pensado que en ese caso sería solo #Artificial</t>
  </si>
  <si>
    <t>Serial Killer serio y profesional se ofrece para sanear los mercados. Herramientas propias. Total discreción.</t>
  </si>
  <si>
    <t>joseagafdz</t>
  </si>
  <si>
    <t>La legalidad y el derecho ha quedado olvidado por los actuales gobiernos central y navarro. Mi apoyo a los que verdaderamente son demócratas @Cs_Navarra_ 🤝🍊 “hablaré con quien me tira piedras pero no permitiré que las tiren” @Albert_Rivera</t>
  </si>
  <si>
    <t>https://pbs.twimg.com/media/DsiHK4HWwAAKXUC.jpg</t>
  </si>
  <si>
    <t>Ciudadano del mundo, preocupado por los problemas reales de los españoles</t>
  </si>
  <si>
    <t>James Dean 🎗</t>
  </si>
  <si>
    <t>Mejor no lo hubiera dicho yo. Por si no te llega @Albert_Rivera te lo reenvío. RT @XarnegoSedicios: Albert Rivera nos ha llamado golpistas, proetarras, populistas, supremacistas, racistas, extrema izquierda, secesionistas, etc; pero mira, a VOX no lo va a definir, que no es analista político. Menuda ameba de mierda.</t>
  </si>
  <si>
    <t>https://twitter.com/xarnegosedicios/status/1065228857148678144</t>
  </si>
  <si>
    <t>Revelde con causa: La República Catalana</t>
  </si>
  <si>
    <t>Jesús Pérez</t>
  </si>
  <si>
    <t>No entiendo cómo puede ser noticia que @Albert_Rivera no califique a @vox_es de extrema derecha.</t>
  </si>
  <si>
    <t>Raijos Granas / Árbitro fs</t>
  </si>
  <si>
    <t>Patri Alburquerque🐺</t>
  </si>
  <si>
    <t>A @CiudadanosCs y al @PPopular se les debería caer la cara de vergüenza. Condenen de una vez el #Franquismo en vez de pensar en los votantes fachas que se pueden ir a @vox_es @Albert_Rivera @pablocasado_</t>
  </si>
  <si>
    <t>Winterfell</t>
  </si>
  <si>
    <t>Together. Writer.History. TV shows, Spoiling is not a crime. Supernatural changed my life.Madridista: SR4 Min 93. Obrigada, Cristiano, the best. #FightLikeAgirl</t>
  </si>
  <si>
    <t>http://elrincon.tv/</t>
  </si>
  <si>
    <t>Doménec Ortiz</t>
  </si>
  <si>
    <t>ESTABAN EN CONTRA CONTRA CUANDO LOS AUTOBUSES NO ERAN LOS SUYOS. Cuando Ciudadanos tachaba de "espectáculo" el fletar autobuses políticos</t>
  </si>
  <si>
    <t>cule🎗 vive y deja vivir</t>
  </si>
  <si>
    <t>Porque @Albert_Rivera evita decir que @vox_es es de la ultraderecha? Que esconde @CiudadanosCs? #diamundialdelatelevision</t>
  </si>
  <si>
    <t>pic.twitter.com/EKWNnffGbo</t>
  </si>
  <si>
    <t>Oliva (València)</t>
  </si>
  <si>
    <t>Tota una vida dedicada a l' ensenyança. Ex-director del Col.legi Alfadalí d'Oliva. M'agrada ajudar als demés. Passió per la lectura. Amunt sempre. 'Carpe diem'.</t>
  </si>
  <si>
    <t xml:space="preserve">#En algun Lugar de Jaen </t>
  </si>
  <si>
    <t>Naci siendo del barça, Indignado, ANDALUZ y de JAÉN #VivaAndaluciaLibre</t>
  </si>
  <si>
    <t>Más comentados ahora en Derecha/Centro Dcha.: ➀ @gabrielrufian ↓ ➁ @JosPastr ↓ ➂ @sanchezcastejon ↑ ➃ @Albert_Rivera ↓ ➄ @PSOE ↑ ➅ @Escribano_R ↑ ➆ @PPopular ➇ @FroilLannister ➈ @JosepBorrellF ↓ ➉ @Esquerra_ERC ↑↑</t>
  </si>
  <si>
    <t>Félix Martínez</t>
  </si>
  <si>
    <t>Pero si es analista para calificarse de "centro" y a Podemos de "izquierda". Que se te ve el plumero, @Albert_Rivera RT @elpais_espana: El presidente de Ciudadanos, Albert Rivera, ha evitado esta mañana calificar a Vox como partido de extrema derecha porque argumenta que no es analista político y no se dedica a eso</t>
  </si>
  <si>
    <t>🏛 Sánchez está más cómodo con los que escupen a un ministro de España que con los que defendemos a ese ministro vejado por los separatistas. Así es el sanchismo: capaz de todo por el poder.</t>
  </si>
  <si>
    <t>https://twitter.com/elpais_espana/status/1065243547845230593
http://ow.ly/yATz30mHmj1</t>
  </si>
  <si>
    <t>26. Biochemist. PhD candidate at @UnivCordoba. Strawberry research is much more fun when I eat the samples.</t>
  </si>
  <si>
    <t>Más influyentes ahora en Derecha/Centro Dcha.: ➀ @JosPastr ↓ ➁ @Albert_Rivera ↓ ➂ @Escribano_R ↑ ➃ @FroilLannister ↓ ➄ @libertaddigital ↑ ➅ @Anonymus_ES ↓ ➆ @Schuma78 ↓ ➇ @Miotroyo2parte ↓ ➈ @Alvisepf ↓↓</t>
  </si>
  <si>
    <t>Rivian</t>
  </si>
  <si>
    <t>Pues @Albert_Rivera para llamar a otros golpistas no se lo piensa tanto. RT @iescolar: Rivera evita catalogar a Vox como un partido de extremaderecha: "No soy analista político"</t>
  </si>
  <si>
    <t>Korriban</t>
  </si>
  <si>
    <t>De pequeño me dijeron que estudiase lo que me gustaba, pero resultó que no había estudios para ser Caballero Jedi.</t>
  </si>
  <si>
    <t>http://alexnoye.tumblr.com</t>
  </si>
  <si>
    <t>David Espínola</t>
  </si>
  <si>
    <t>Venga @InesArrimadas @Albert_Rivera @CiudadanosCs ir condenando esto también RT @neustomas: Esto también está pasando en Catalunya (por si no aparece en otros medios): Atacadas con pintura una docena de sedes de partidos y entidades independentistas en varias ciudades  vía @eldiarioes</t>
  </si>
  <si>
    <t>federico cantador</t>
  </si>
  <si>
    <t>Amante del deporte y apoyando a los modestos. Echando de menos HRT y Visca el Girona!!!</t>
  </si>
  <si>
    <t>Сальвадор Элиас🎗️</t>
  </si>
  <si>
    <t>Utilizando una image de @junqueras. Te imaginas que un autobús indepe utilizara uno de @carrizosacarlos o de @Albert_Rivera??? #LlibertatPresosPolítics #AltsasukoakASKE #fr RT @altamiranoMLG: La muestra del aparente “fascismo” dar por condenados a gente sin juicio y llamarlos golpistas sin sentencia va contra la democracia, la constitución del 78 y la presunción de inocencia. Y cómo se llama a quienes no respetan estos conceptos demócraticos? FASCISMO!!</t>
  </si>
  <si>
    <t>https://twitter.com/altamiranoMLG/status/1065231998418120704</t>
  </si>
  <si>
    <t>https://pbs.twimg.com/media/Dsh22XiW0AA2doP.jpg</t>
  </si>
  <si>
    <t>alicante</t>
  </si>
  <si>
    <t>Ex-àrbitre de futbol.</t>
  </si>
  <si>
    <t>Jose Luis Gonzalez</t>
  </si>
  <si>
    <t>Aquí lo dejo para los que me insultan, cuando digo que recuerdan a Lluch pero pactan con sus cómplices. Se puede caer más bajo. @CiudadanosCs que no perdió ninguno no.pactará nunca un gobierno con Bildu, Nunca. Ahí está la diferencia entre Sánchez y @Albert_Rivera 🍊</t>
  </si>
  <si>
    <t>https://pbs.twimg.com/media/Dsh-lvXWsAAb5SK.jpg</t>
  </si>
  <si>
    <t>Amante de la vida no conveccional, Liberal, cuanto menos estado mejor. Esquiador, y amante de la naturaleza. Inversor en bolsa haciendo daytrading. Biker MTB</t>
  </si>
  <si>
    <t>David Borrell 🎗️</t>
  </si>
  <si>
    <t>"Ahora resulta que somos fachas" Don @Albert_Rivera RT @eldiarioes: ÚLTIMA HORA | PP y Ciudadanos se abstienen en la condena del Senado al franquismo</t>
  </si>
  <si>
    <t>Santi</t>
  </si>
  <si>
    <t>No sé de qué va a vivir Albert Rivera como le quiten la palabra golpista de la boca. Estos personajillos artificiales tienen el discurso ya predefinido y poco pueden hacer más allá de eso.</t>
  </si>
  <si>
    <t>La Barceloneta, Barcelona</t>
  </si>
  <si>
    <t>Bibliotecari en formació. Cultura popular. Barça. Catalunya. Viure vol dir prendre partit ✊💛</t>
  </si>
  <si>
    <t>http://www.facebook.com/david.borrellperis</t>
  </si>
  <si>
    <t>Granada</t>
  </si>
  <si>
    <t>"La democracia, si verdaderamente representa la voluntad de la mayoría, por fuerza lleva al poder a los peores"</t>
  </si>
  <si>
    <t>https://lascenizasdetroya.wordpress.com/</t>
  </si>
  <si>
    <t>david gonzal</t>
  </si>
  <si>
    <t>Albert Rivera alerta sobre la campaña de adoctrinamiento que la Generalitat está llevando a cabo en la masa vegetal de Cataluña. Hasta los árboles se han vuelto amarillos para reclamar libertad de los presos políticos</t>
  </si>
  <si>
    <t>Barcelona, Spain</t>
  </si>
  <si>
    <t>Sobrino de un cangrejo ilustrado. Practicante de la pasividad aguerrida combinada con centralismo excéntrico.</t>
  </si>
  <si>
    <t>@Arena</t>
  </si>
  <si>
    <t>Personas que le han votado y podrían votarle no entienden que sea Vd @Albert_Rivera incapaz @CiudadanosCs de decir que Vox sí es ultraderecha. A ver si nos vamos a liar....</t>
  </si>
  <si>
    <t>Todos deberíamos contribuir con nuestro granito de arena. Pero ya ves ....</t>
  </si>
  <si>
    <t>nomemandescallar5</t>
  </si>
  <si>
    <t>120 minutos</t>
  </si>
  <si>
    <t>#VÍDEO | @Albert_Rivera, sobre @sanchezcastejon: “Que convoque elecciones y gane el mejor”</t>
  </si>
  <si>
    <t>http://telemd.es/_jwiu4</t>
  </si>
  <si>
    <t>En búsqueda de los misales perdidos de Catalina. La ultima vez fueron vistos en Andorra. se sospecha que han viajado a 🇨🇭 suiza</t>
  </si>
  <si>
    <t>Magacín informativo presentado por @maria_rey, una ventana a la actualidad que se abre todas las mañanas, de L-V, a partir de las 11:30h en @telemadrid</t>
  </si>
  <si>
    <t>http://www.telemadrid.es/120minutos</t>
  </si>
  <si>
    <t>MARISA #SiALaVida♥🇪🇸🇪🇸🇪🇸</t>
  </si>
  <si>
    <t>!!ME GUSTA!! Albert Rivera propondrá que los nacionalistas tengan un 3% de los votos para entrar en el Congreso  vía @elmundoes</t>
  </si>
  <si>
    <t>Montserrat Dominguez</t>
  </si>
  <si>
    <t>‘Yo no me dedico a esto’ Un momento antológico de @Albert_Rivera con @PepaBueno 🤒 RT @La_SER: Albert Rivera evita calificar a Vox como un partido de ultraderecha La entrevista completa del líder de @CiudadanosCs en @HoyPorHoy con @PepaBueno →</t>
  </si>
  <si>
    <t>Valencia (Spain)</t>
  </si>
  <si>
    <t>CATÓLICA, orgullosa de serlo. DE DERECHAS. Me gusta leer y viajar. ESPAÑA es mi Pais y PARIS es mi ciudad.</t>
  </si>
  <si>
    <t>Periodista</t>
  </si>
  <si>
    <t>https://elpais.com/elpais/eps.html</t>
  </si>
  <si>
    <t>laSexta</t>
  </si>
  <si>
    <t>Cs Langreo</t>
  </si>
  <si>
    <t>VÍDEO | Albert Rivera: "ERC escupe cada día en nuestra Constitución"</t>
  </si>
  <si>
    <t>🎬 @sanchezcastejon no responde a la pregunta de @Albert_Rivera 🍊 ¿SI o NO a los indultos a los presos independendistas?👇</t>
  </si>
  <si>
    <t>pic.twitter.com/9to3wJLEGt</t>
  </si>
  <si>
    <t>http://atres.red/0ovvg4</t>
  </si>
  <si>
    <t>Langreo, España</t>
  </si>
  <si>
    <t>Todo el contenido de laSexta en nuestro perfil, en http://laSexta.com y en http://facebook.com/laSexta</t>
  </si>
  <si>
    <t>http://www.lasexta.com</t>
  </si>
  <si>
    <t>Que este elemento diga esto es de risa. @Albert_Rivera cada vez que les digas golpistas y te llamen fascista, todos seremos fascistas. Ánimo! RT @rubiodelpozo: #JoanTardáGOLPISTA</t>
  </si>
  <si>
    <t>https://twitter.com/rubiodelpozo/status/1064985593309011968</t>
  </si>
  <si>
    <t>pic.twitter.com/ymDTncJ6xz</t>
  </si>
  <si>
    <t>Julián José Ahijado</t>
  </si>
  <si>
    <t>Gijon</t>
  </si>
  <si>
    <t>Cómo calificaría @vox_es No soy analista, @Albert_Rivera #Borrell #Rufián #SesiónDeControl #Senado 👇 PP y Ciudadanos se abstienen en la condena del Senado al franquismo  vía @eldiarioes 👇</t>
  </si>
  <si>
    <t>La belleza subsiste siempre en el recuerdo. Everybody loves somebody sometimes. L'important c'est la rose, crois-moi! Asturias siempre. La vida, pura patología.</t>
  </si>
  <si>
    <t>https://m.eldiario.es/_31f568f9</t>
  </si>
  <si>
    <t>pic.twitter.com/xRysejupZe</t>
  </si>
  <si>
    <t>Carlos Javier García</t>
  </si>
  <si>
    <t>Hoy un señor de ERC a quien todos los días nombra @Albert_Rivera ha escupido a un ministro del PSOE en el Congreso. Estos los hechos. Rivera a lo suyo 👇🏻👇🏻 RT @Albert_Rivera: 🎥 Hoy los socios separatistas del PSOE han escupido a España. Mientras Sánchez les promete indultos, nosotros hemos salido a defender a Borrell. ¿Hasta cuándo piensa permitir estas humillaciones al pueblo español? #EleccionesYa @120minutosTM</t>
  </si>
  <si>
    <t>César Cabo</t>
  </si>
  <si>
    <t>Muy buena idea Albert Rivera propondrá que los nacionalistas tengan un 3% de los votos para entrar en el Congreso  vía @elmundoes</t>
  </si>
  <si>
    <t>Grazalema, España</t>
  </si>
  <si>
    <t>Periodista grazalemeño empadrado. En estos momentos, al servicio de mi pueblo como alcalde y Secretario General del @PSOEGrazalema</t>
  </si>
  <si>
    <t>http://www.grazalema.es</t>
  </si>
  <si>
    <t>En pleno vuelo</t>
  </si>
  <si>
    <t>Controlador aéreo, periodista, viajero.</t>
  </si>
  <si>
    <t>http://cesarcabo.blogspot.com</t>
  </si>
  <si>
    <t>Albert #PaísValencià</t>
  </si>
  <si>
    <t>Como @ignacioaguado, @Albert_Rivera no sabe definir a VOX porque "no es analista político". Eso sí, Podemos son bolivarianos, comunistas y radicales. Qué vergüenza de tío, de verdad. RT @La_SER: Albert Rivera evita calificar a Vox como un partido de ultraderecha La entrevista completa del líder de @CiudadanosCs en @HoyPorHoy con @PepaBueno →</t>
  </si>
  <si>
    <t>València</t>
  </si>
  <si>
    <t>Psicología aldeana. ¿El café? Con poco azúcar. Vamos a por la Tercera.</t>
  </si>
  <si>
    <t>¿Por qué @Albert_Rivera no se atreve a decir que Vox es extrema derecha? Twitter analiza los motivos.</t>
  </si>
  <si>
    <t>Hugo Báez</t>
  </si>
  <si>
    <t>Oye @Albert_Rivera ¿con que no eres analista político verdad? Tampoco puedes condenar el franquismo, eso se lo dejas a otros... Anda que... RT @ElHuffPost: ÚLTIMA HORA: El Senado condena al franquismo con la abstención del PP, Ciudadanos, UPN y Foro Asturias</t>
  </si>
  <si>
    <t>https://twitter.com/elhuffpost/status/1065234370842304514
http://www.huffingtonpost.es/2018/11/21/el-senado-condena-el-franquismo-con-la-abstencion-de-pp-ciudadanos-upn-y-foro_a_23595911/</t>
  </si>
  <si>
    <t>Firgas, Gran Canaria</t>
  </si>
  <si>
    <t>Fisioterapeuta con salitre en la piel y volcán en las entrañas. Sº de Memoria Histórica del @PSOECanarias también participo en @jsgrancanaria y @psoe_firgas</t>
  </si>
  <si>
    <t>Club de los Viernes</t>
  </si>
  <si>
    <t>Señores políticos: Terminen de una vez con los privilegios y la sobrerepresentación que concede la Ley Electoral a partidos de una regiones sobre el resto. @pablocasado_ @sanchezcastejon @Albert_Rivera @Santi_ABASCAL</t>
  </si>
  <si>
    <t>Nacho Prendes</t>
  </si>
  <si>
    <t>“Albert Rivera, es el único que se salva, porque siempre se mantuvo al margen del infame conchabeo. En adelante, los partidos tendrán q retratarse por su grado de aprecio a la separación de poderes. Es hora de resucitar a Montesquieu...” ⁦@elmundoes⁩</t>
  </si>
  <si>
    <t>Movimiento en defensa de las libertades civiles, el derecho de propiedad y el Estado limitado. #CdV administracion@elclubdelosviernes.org</t>
  </si>
  <si>
    <t>http://www.elclubdelosviernes.org</t>
  </si>
  <si>
    <t>https://www.elmundo.es/opinion/2018/11/20/5bf45cdce5fdeae1388b4662.html</t>
  </si>
  <si>
    <t>Ey @interiorgob es esto normal? Por que no nos fijamos en " los paises de nuestro entorno" tb para #sosprisiones ? Sr. #Marlaska ,@sanchezcastejon se lo repito: #TuAbandoMePuedeMatar no sean cómplices por favor. @CiudadanosCs @Albert_Rivera @ahorapodemos @PPopular @PSOE</t>
  </si>
  <si>
    <t>Asturias</t>
  </si>
  <si>
    <t>https://pbs.twimg.com/media/Dsh67qXWsAApN3v.jpg</t>
  </si>
  <si>
    <t>Gijonés. Abogado y Diputado de Ciudadanos. Vicepresidente Primero del Congreso de los Diputados. Trabajando para hacer posible lo necesario.</t>
  </si>
  <si>
    <t>Cigalator</t>
  </si>
  <si>
    <t>.@Albert_Rivera te queda algún diente aún?</t>
  </si>
  <si>
    <t>https://pbs.twimg.com/media/Dsh5dPBXoAA1ke3.jpg</t>
  </si>
  <si>
    <t xml:space="preserve">Entrando al loquero </t>
  </si>
  <si>
    <t>Robando sonrisas a la people desde 1988</t>
  </si>
  <si>
    <t>Los populistas hispánicos @Albert_Rivera @pablocasado tan valientes en llamar golpistas a Junqueras y cía, se abstienen en Senado en condenar al golpista y asesino Franco Mientras miles d desaparecidos decoran las cunetas d su estupenda patria</t>
  </si>
  <si>
    <t>dazai pussy indulgence</t>
  </si>
  <si>
    <t>https://amp.elperiodico.com/es/politica/20181121/senado-votacion-mocion-condena-franquismo-7159453</t>
  </si>
  <si>
    <t>¿Alguna vez conociste a una celebridad? — Albert rivera cuando vino a ceuta a quejarse de los muertos de hambre (yo)</t>
  </si>
  <si>
    <t>https://curiouscat.me/Cieloutopicobarrabaj/post/713790140?t=1542893064</t>
  </si>
  <si>
    <t>ç</t>
  </si>
  <si>
    <t>i dont have pronouns dont talk about me</t>
  </si>
  <si>
    <t>📽 @Albert_Rivera "La fecha que conviene más para convocar elecciones es cuanto antes. La legislatura está agotada y no va a salir nada bueno de ella. Convoquen elecciones" #AlbertRivera120</t>
  </si>
  <si>
    <t>pic.twitter.com/MAVZA4zLMi</t>
  </si>
  <si>
    <t>Marga_LlB 🎗</t>
  </si>
  <si>
    <t>Albert Rivera hablando de democracia, enfin.</t>
  </si>
  <si>
    <t>Campos, Mallorca</t>
  </si>
  <si>
    <t>📚Graduada Ciències Activitat Física i l'Esport.📝Màster en Formació Professorat E.F. 🏀Màster Direcció Esport d'Equip. 🏋️‍♀️Personal trainer ||*|| 🎗️</t>
  </si>
  <si>
    <t>https://esportvidasaludable.blogspot.com.es/</t>
  </si>
  <si>
    <t>#broncacongresoarv Que raro Ferreritas que @Albert_Rivera no vote a favor de condenar el franquismo , otra vez , recuerdas cuando en tu puta cara decía que condenaba el franquismo , en tu puta cara y en tu puto programa ,ferreritas ahora a seguir lamiendo culos naranjas</t>
  </si>
  <si>
    <t>Omar 🎗</t>
  </si>
  <si>
    <t>"Sánchez está más cómodo con los que escupen que con los que defienden la democracia" Creo que no caben más mentiras y falacias en una declaración de Albert Rivera.</t>
  </si>
  <si>
    <t>Rojo, vegano y zurdo. Por alguna de esas tres cosas me cerraron mi antigua cuenta.</t>
  </si>
  <si>
    <t>http://www.instagram.com/kidwithguns</t>
  </si>
  <si>
    <t>Afrika Winslet 💜 🎗️</t>
  </si>
  <si>
    <t>Hola @InesArrimadas @Albert_Rivera RT @naciodigital: Uns desconeguts aboquen pots de pintura als locals d'@omnium, l'Ateneu Popular la Sèquia i la @cupnacional de Manresa, informa @PereFontanals</t>
  </si>
  <si>
    <t>https://twitter.com/naciodigital/status/1065224573539500034
https://www.naciodigital.cat/manresa/noticia/79693</t>
  </si>
  <si>
    <t>Joan Comorera</t>
  </si>
  <si>
    <t>El coherente: Albert Rivera, en el 2017: "Montar un autobús no es hacer oposición, es un show".</t>
  </si>
  <si>
    <t>Permanentemente en construcción. Hater. Tremenda e irremediablemente #HappyFlowerPower. De bandera Pirata. QA.</t>
  </si>
  <si>
    <t>http://afrikawinslet.blogspot.com</t>
  </si>
  <si>
    <t xml:space="preserve">Barcelona </t>
  </si>
  <si>
    <t>Senador de En Comu Podem por Barcelona. Abogado especializado en propiedad intelectual e industrial y penalista. #T. Todavía creo que un mundo mejor es posible.</t>
  </si>
  <si>
    <t>http://jcomorera.blogspot.com.es/</t>
  </si>
  <si>
    <t>Eduardo Gomez</t>
  </si>
  <si>
    <t>Le tomo la frase, @Albert_Rivera, pero le cambio el sujeto: "Hasta cuándo piensa permitir estas humillaciones el pueblo español?" Q tal? RT @Albert_Rivera: 🎥 Hoy los socios separatistas del PSOE han escupido a España. Mientras Sánchez les promete indultos, nosotros hemos salido a defender a Borrell. ¿Hasta cuándo piensa permitir estas humillaciones al pueblo español? #EleccionesYa @120minutosTM</t>
  </si>
  <si>
    <t>Ana M Loscos 🇪🇸</t>
  </si>
  <si>
    <t>Navarra</t>
  </si>
  <si>
    <t>Alguien que sigue teniendo dos ojos para leer, dos oídos para escuchar, dos manos para ayudar y dos pies para caminar.</t>
  </si>
  <si>
    <t>📽 @Albert_Rivera "Hemos presentado una ley alternativa del poder judicial para que los jueces puedan escoger a los jueces; no Casado e Iglesias en un despacho. #PPSOE deberá pedir perdón a los españoles por esta irresponsabilidad en un momento tan delicado" #AlbertRivera120</t>
  </si>
  <si>
    <t>Las Rozas de Madrid</t>
  </si>
  <si>
    <t>¡Think Positive! :”Si caminas solo irás más rápido; si caminas acompañado, llegarás más lejos" ¡En Equipo Mejor!</t>
  </si>
  <si>
    <t>pic.twitter.com/duNJDcLEQ4</t>
  </si>
  <si>
    <t>📽 @Albert_Rivera "Estamos hablando de dar privilegios a políticos a cambio de escaños; y así lo han dicho Iceta y Cunillera. Es inmoral que esté sucediendo esto mientras se está acosando a jueces y fiscales en sus propias casas" #AlbertRivera120</t>
  </si>
  <si>
    <t>https://pbs.twimg.com/media/Dsh1n_DXQAAHO9t.jpg</t>
  </si>
  <si>
    <t>La Catalana Terra</t>
  </si>
  <si>
    <t>"Ayer escupieron a España" Albert Rivera. La mare que em va parir.</t>
  </si>
  <si>
    <t>📽 @Albert_Rivera "El sanchismo está provocando una quiebra que hoy se ha visualizado: es un error indultar a los golpistas que quieren romper España. ¿Cuándo entenderá el sanchismo que los constitucionalistas no somos sus adversarios?" #AlbertRivera120</t>
  </si>
  <si>
    <t>https://pbs.twimg.com/media/Dsh1L_yXgAE8L6M.jpg</t>
  </si>
  <si>
    <t>📽 @Albert_Rivera "Hay unos señores que han declarado ilegalmente la independencia y eso tiene unas consecuencias. Lo que pasó en Cataluña fue un golpe a la democracia y no lo digo yo; lo dicen los jueces y los fiscales" #AlbertRivera120</t>
  </si>
  <si>
    <t>LibraNani</t>
  </si>
  <si>
    <t>Manuel Cruz, diputado del PSC en el Congreso dice en al rojo vivo: "Joan Tarda afina cuando llama fascista a Albert Rivera". Y se queda tan pancho el tío.</t>
  </si>
  <si>
    <t>pic.twitter.com/4hS0NzgcVI</t>
  </si>
  <si>
    <t>Orgullosa de ser ESPAÑOLA</t>
  </si>
  <si>
    <t>Huerta12</t>
  </si>
  <si>
    <t>¿Son hoy en dia @CiudadanosCs y el @PPopular y sus líderes @Albert_Rivera y @pablocasado_ unos #fascistas? Probablemente no, pero...(abrimos hilo)</t>
  </si>
  <si>
    <t>ElPeriódico Política</t>
  </si>
  <si>
    <t>http://elperiodi.co/_fob51</t>
  </si>
  <si>
    <t>Hijos de la época convulsa en la quenos ha tocado vivir, queremos escuchar y ser escuchados</t>
  </si>
  <si>
    <t>Todas las noticias de la sección de Política de El Periódico @elperiodico. 📢 Síguenos también en Telegram http://telegram.me/elperiodico</t>
  </si>
  <si>
    <t>http://www.elperiodico.com/es/politica</t>
  </si>
  <si>
    <t>zaini</t>
  </si>
  <si>
    <t>Te voy a definir yo a tí @Albert_Rivera : PAYASO</t>
  </si>
  <si>
    <t>José I. González</t>
  </si>
  <si>
    <t>Atlántida</t>
  </si>
  <si>
    <t>Yo no soy tu amigo</t>
  </si>
  <si>
    <t>Y yo añadiría que si no hay respeto a la unidad de este oais, y van en contra de la constitución mo reciban ni un €. Albert Rivera propondrá que los nacionalistas tengan un 3% de los votos para entrar en el Congreso  vía @elmundoes</t>
  </si>
  <si>
    <t>#broncacongresoarv Ahora seguro que @DebatAlRojoVivo , y Ferreras, le pone a Toni Cantó , las palabras de @Albert_Rivera no queriendo llamar a Vox extrema derecha y hace días a Ignacio Aguado metiendose la lengua en el culo para lo mismo pero no llaméis fachas a los fachas de C´s</t>
  </si>
  <si>
    <t>Semper fidelis. Comprometido con cada proyecto. Aprendiendo siempre.Trabajo en equipo con las manos en la masa. Director-Desarrollo de Negocio Servicios y Obras</t>
  </si>
  <si>
    <t>sagrario sánchez ♀</t>
  </si>
  <si>
    <t>#BroncaCongresoARV En cuanto a la pregunta del Sr. Ferreras sobre si @Albert_Rivera es un fascista?. Yo creo, "que si no lo es está muy cerca". Y si no lo cree le aconsejo que escuche a @PepaBueno cuando está mañana le preguntaba si VOX es un partido de extrema derecha....</t>
  </si>
  <si>
    <t>La dignidad es lo que aún nos queda cuando ya no nos queda nada. (Benjamín Prado)</t>
  </si>
  <si>
    <t>albert Rivera y pablo casado como van a condenar al Frankismo y al fascismo si AMBOS REPITO AMBOS SON FRANKISTAS Y FASCISTAS.</t>
  </si>
  <si>
    <t>Víctor Pelaz Abeledo</t>
  </si>
  <si>
    <t>Que dice @Albert_Rivera que no es analista político y que por eso no puede catalogar a los de VOX. Cuando decía que Podemos era "populismo" y los de la CUP y ERC "radicales de extremaizquierda" nada le impedía catalogar y despotricar como si no hubiera un mañana...🤔 #Cuñadamos RT @iescolar: Rivera evita catalogar a Vox como un partido de extremaderecha: "No soy analista político"</t>
  </si>
  <si>
    <t>Pontedeume, Galicia!</t>
  </si>
  <si>
    <t>Adicto a la lectura. Apasionado de la política y la economía. Balonmano, naturaleza y mucha música.😎 #FragasDoEume ----- https://www.instagram.com/victor_pelaz/</t>
  </si>
  <si>
    <t>http://laverdadduelemas.blogspot.com.es/</t>
  </si>
  <si>
    <t>La Hora Digital</t>
  </si>
  <si>
    <t>Chinaski</t>
  </si>
  <si>
    <t>📢 Albert Rivera, incapaz de definir a Vox como extrema derecha 👉🏻  #LaHoraDigital #Actualidad #Política #21Nov | @Albert_Rivera @CiudadanosCs</t>
  </si>
  <si>
    <t>PSOE, en particular, Pedro Sanches brilla por su falta de caracter. Esta ausente en todo momento, deja que le mangoneen le acusen y le insulten personajes por el estilo de Albert Rivera.</t>
  </si>
  <si>
    <t>https://lahoradigital.com/movil/noticia/17583/politica/albert-rivera-incapaz-de-definir-a-vox-como-extrema-derecha.html</t>
  </si>
  <si>
    <t>Aranda de Duero, España</t>
  </si>
  <si>
    <t>Todo lo que tengo son mis cojones y mi palabra.</t>
  </si>
  <si>
    <t>La hora de la verdad. Dirigido por @conchaminguela1 | Síguenos también en Facebook, Instagram y YouTube | @LaHoraFeminista</t>
  </si>
  <si>
    <t>http://www.lahoradigital.com</t>
  </si>
  <si>
    <t>nafasaro1</t>
  </si>
  <si>
    <t>.@Esquerra_ERC un día llama fascista a @Albert_Rivera que otro día escupen en la cara a @JosepBorrellF.</t>
  </si>
  <si>
    <t>Su Notísima Reloaded</t>
  </si>
  <si>
    <t>-¿Qué opina de este tuit, señor Albert Rivera? -Que han muerto 4 radicales populistas. -¿Y de la autora del tuit? -No sabría decirle, no soy analista político...</t>
  </si>
  <si>
    <t>https://pbs.twimg.com/media/Dsm-wu8WwAErKbf.jpg</t>
  </si>
  <si>
    <t>Africa</t>
  </si>
  <si>
    <t>Maestro en Salsas de Ali Oli y Autofílico</t>
  </si>
  <si>
    <t>"Yeah? Well... that´s just like... your opinion, man." Soy rojeras y a mucha honra. Si no te gusta, cómprate un Colajet y vete a darle por culo a otro.</t>
  </si>
  <si>
    <t>Al populista hispánico @Albert_Rivera no le gustan nada ni de los independentistas ni los nacionalistas vascos Adora pactar con constitucionalistas corrupptos porque ser patriota permite robar e hundir al pais en 1ciénaga inmunda, aún violando decenas d leyes Hablan d banderas 🙄 RT @CiudadanosCs: 📽 @Albert_Rivera "Los que dan golpes de estado y escupen a España son los que tienen el privilegio de contar con indultos. Los constitucionalistas deberíamos estar juntos para plantar cara a Rufián y Bildu" #AlbertRivera120</t>
  </si>
  <si>
    <t>🎗Carl Von Clauswitz🎗</t>
  </si>
  <si>
    <t>Rivera acusa a los independentistas de "escupir a España" (Compartir desde Armorfly Browser)</t>
  </si>
  <si>
    <t>https://twitter.com/CiudadanosCs/status/1065224473283084288</t>
  </si>
  <si>
    <t>Rafa Espinosa</t>
  </si>
  <si>
    <t>Eso no es montar un show, es fomentar la crispación y la catalano fobia, pero nada, ellos son patriotas y con eso les sobra razón y les basta Albert Rivera, en el 2017: "Montar un autobús no es hacer oposición, es un show"</t>
  </si>
  <si>
    <t>Tito R.</t>
  </si>
  <si>
    <t>#BroncaCongresoARV Ferreras en @DebatAlRojoVivo ahora mismo le pregunta en tono de afirmación a Joan Tarda; - "¿Usted sabe que @Albert_Rivera no es un facista? Verdad" 🤣🤣🤣🤣, que me la pongan a mí botando a mí así, que la meto hasta con la pierna izquierda...🤣🤣🤣🤣</t>
  </si>
  <si>
    <t>Muy buenas,¿donde le llevo?...</t>
  </si>
  <si>
    <t>Terrassa, Catalunya, España</t>
  </si>
  <si>
    <t>Un barrendero inquieto enamorado de la historia. Casteller de camisa malva minyona fidel a les seves múltiples arrels: obrer i català sense cap cognom català.</t>
  </si>
  <si>
    <t>Ni Shagu Nazad! 🚖🚖🚖</t>
  </si>
  <si>
    <t>Que pregunta Ferreras @DebatAlRojoVivo @JoanTarda @Esquerra_ERC si cree que @Albert_Rivera es #Fascista 🤔 #BroncaCongresoARV #SesióndeControl #AlbertRiveraEnLaSER Responda ustedes 😊 👇</t>
  </si>
  <si>
    <t>https://pbs.twimg.com/media/DshxS0EXQAI0mGR.jpg</t>
  </si>
  <si>
    <t>Ardea Cinerea 🔻</t>
  </si>
  <si>
    <t>Si todo este jaleo de @gabrielrufian sirve para q @Albert_Rivera quite de su limitado vocabulario la palabra 'golpista' habremos ganado algo!! Habrá q estar vigilantes y q nadie más diga esto!!</t>
  </si>
  <si>
    <t>PartidoRepublicanoEs</t>
  </si>
  <si>
    <t>Bueno, como siempre salió Albert Rivera y su piromanía a atacar con lo de "cómplices del independentismo " a @PSOE por lo de Rufián , como siempre el marketing político , ideas muy pocas o nada ! Solo crispar y oportunismo! @CiudadanosCs</t>
  </si>
  <si>
    <t>titan</t>
  </si>
  <si>
    <t>Atea, Republicana, feminista, en contra de todo tipo de explotación y animalista por encima de todo ✊</t>
  </si>
  <si>
    <t>https://pbs.twimg.com/media/Dsm-jK4W0AAsqZ1.jpg</t>
  </si>
  <si>
    <t>#broncacongresoarv Por supuesto , Ferreras dice que Albert @Albert_Rivera , no es un fascista el chico que se une a Libertas en elecciones, que huye de los parlamentos para no condenar el franquismo,el que a a manifestaciones de la mano de Vox Y esta mañana niega calificar a Vox</t>
  </si>
  <si>
    <t>Por una democracia real de iguales, dotada de pluralidad y participativa; con el objetivo del bien común sin olvidar nunca que el único soberano es el pueblo</t>
  </si>
  <si>
    <t>http://partidorepes.wordpress.com</t>
  </si>
  <si>
    <t>🏳️‍🌈DAVID SEGOVIA🏳️‍🌈</t>
  </si>
  <si>
    <t>Mientras Ana Pastor expulsa a Gabriel Rufián del hemiciclo, @pablocasado_ no obliga a dimitir a @Ignacos, ni @Albert_Rivera llama a la extrema derecha extrema derecha</t>
  </si>
  <si>
    <t>jerez de la frontera</t>
  </si>
  <si>
    <t>https://www.instagram.com/dsegoviaatienza/</t>
  </si>
  <si>
    <t>Isabel en Tabarnia</t>
  </si>
  <si>
    <t>📽 @Albert_Rivera "Los que dan golpes de estado y escupen a España son los que tienen el privilegio de contar con indultos. Los constitucionalistas deberíamos estar juntos para plantar cara a Rufián y Bildu" #AlbertRivera120</t>
  </si>
  <si>
    <t>Cicely, Alaska</t>
  </si>
  <si>
    <t>Pasando el rato en Roslyn Cafe</t>
  </si>
  <si>
    <t>Mediagua</t>
  </si>
  <si>
    <t>Otro chavista se declara culpable en EEUU por lavado de +1billlón$. Justicia de EEUU solicita extradición a España de otros corruptos pero @sanchezcastejon opta por regresarlos a CCS a petición de ZP (Maduro). @B_ca_es_eu @beatrizbecerrab @cayetanaAT @Albert_Rivera @pablocasado_</t>
  </si>
  <si>
    <t xml:space="preserve">Luchando por la Democracia </t>
  </si>
  <si>
    <t>Libereco</t>
  </si>
  <si>
    <t>* @Albert_Rivera dice que @ahorapodemos es un partido de extrema izquierda* @Albert_Rivera dice seguido que no es analista político cómo para calificar a @vox_es de extrema derecha "Españoles":</t>
  </si>
  <si>
    <t>https://pbs.twimg.com/media/Dshu2bAX4AACMBT.jpg</t>
  </si>
  <si>
    <t>Agencia de comunicación dedicada a la información sobre la libertad de expresión. Cuenta académica de la @Urjc</t>
  </si>
  <si>
    <t>https://www.facebook.com/Libereco-Press-256834128305420/</t>
  </si>
  <si>
    <t>ℳ 🍉 Martí Parlafake 🎗</t>
  </si>
  <si>
    <t>Como tienes la puta vergüenza de poner en tu autobús de mierda la cara de un hombre de paz que ha sido tratado por terrorista. Cínico. Cerdo. Este hombre tiene más dignidad que la que tendrá nadie de tu partido fascista en la puta vida. Desgraciado. @Albert_Rivera RT @Albert_Rivera: Indultos no, #EleccionesYa .</t>
  </si>
  <si>
    <t>Otra a la que Albert Rivera no sabría ubicar en el espectro ideológico...</t>
  </si>
  <si>
    <t>https://pbs.twimg.com/media/Dsm99oBXQAE1K8J.jpg</t>
  </si>
  <si>
    <t>El Abismo y Tokyo-3</t>
  </si>
  <si>
    <t>Twitter acabó con todo lo que amaba en este mundo por haber nacido en el 2000. Me echaron de mi casa. Y luego volví. Y ya está.</t>
  </si>
  <si>
    <t>http://Twitterhijosdeputasecuestradores.com</t>
  </si>
  <si>
    <t>Unicorn Content</t>
  </si>
  <si>
    <t>En directo en @120minutosTM de @telemadrid, @maria_rey entrevista a @Albert_Rivera. #AlbertRivera120</t>
  </si>
  <si>
    <t>Producimos contenidos audiovisuales únicos, actualidad e información en directo. Nos apasionan las historias originales, las emociones... y los unicornios.</t>
  </si>
  <si>
    <t>http://unicorntv.es</t>
  </si>
  <si>
    <t>Víctor García Martín</t>
  </si>
  <si>
    <t>Estamos entrevistando en directo a @Albert_Rivera, Presidente de @CiudadanosCs en @120minutosTM de @telemadrid. 📡</t>
  </si>
  <si>
    <t>RAMON YOPS</t>
  </si>
  <si>
    <t>Albert Rivera dice que llamar golpista “no es insultar, es describir” @lavanguardia</t>
  </si>
  <si>
    <t>TV y marketing. Amante de todo lo que conlleve estrategia, actualidad, espectáculo e innovación. CCO en Unicorn Content. Prod. Ejec. @120MinutosTM</t>
  </si>
  <si>
    <t>Sed quid custodiet ipsos custodes?</t>
  </si>
  <si>
    <t>https://yopsramon.wordpress.com/</t>
  </si>
  <si>
    <t>TN Telemadrid</t>
  </si>
  <si>
    <t>.@Albert_Rivera : “ Los que escupen a España son los que tienen el privilegio de ser indultados por Sánchez” #albertRivera120 📡  @120minutosTM</t>
  </si>
  <si>
    <t>http://www.telemadrid.es/emision-en-directo/</t>
  </si>
  <si>
    <t>pic.twitter.com/onyfOxr02P</t>
  </si>
  <si>
    <t>LibertadLamor</t>
  </si>
  <si>
    <t>Albert Rivera propondrá que los nacionalistas tengan un 3% de los votos para entrar en el congreso Rivera propone medidas sabias -cambio de ley electoral(injusta) -aforamientos,fuera -Independencia del poder -Impulsar autónomos -Pacto educativo</t>
  </si>
  <si>
    <t>Toda la actualidad de Madrid. Envíanos fotos, videos, denuncias al whatsApp ☎️ 616 08 08 63. Sigue también @telemadrid</t>
  </si>
  <si>
    <t>http://www.telemadrid.es/noticias</t>
  </si>
  <si>
    <t>Aravaca</t>
  </si>
  <si>
    <t>Coherente conmigo misma y respetuosa con los demas</t>
  </si>
  <si>
    <t>Agustín Martínez</t>
  </si>
  <si>
    <t>Que @Albert_Rivera evite calificar a @vox_es como un partido de ultraderecha es la mar de clarificador ¿No?</t>
  </si>
  <si>
    <t>http://cadenaser.com/programa/2018/11/20/hoy_por_hoy/1542712340_800654.html</t>
  </si>
  <si>
    <t>CARLOS FCO</t>
  </si>
  <si>
    <t>Periodista.Solo estáis leyendo mi opinión.</t>
  </si>
  <si>
    <t>https://www.cordoba.es</t>
  </si>
  <si>
    <t>Barcelona #Tabarnia</t>
  </si>
  <si>
    <t>Pragmático, las ideologías son las cárceles del pensamiento.</t>
  </si>
  <si>
    <t>#DIRECTO | Sigue la entrevista a @Albert_Rivera en @telemadrid▶ #AlbertRivera120</t>
  </si>
  <si>
    <t>http://telemd.es/zwua0141741</t>
  </si>
  <si>
    <t>https://pbs.twimg.com/media/DshqkGlWwAAbc0g.jpg</t>
  </si>
  <si>
    <t>Sir Patrick OConnell</t>
  </si>
  <si>
    <t>Que dice Ana Pastor que va a retirar los terminos "fascista" y "racista" del diario de sesiones porque le da vergüenza que es lo que lea la gente dentro de 100 años. Tranquilos los "nostalgicos" de @CiudadanosCs y @PPopular , Ana Pastor os protege. @pablocasado_ @Albert_Rivera</t>
  </si>
  <si>
    <t>Roger Pascual</t>
  </si>
  <si>
    <t>🇮🇪🇮🇪🇮🇪 XXIV 💕</t>
  </si>
  <si>
    <t>https://www.instagram.com/eternodiecisiete/</t>
  </si>
  <si>
    <t>Periodista de @elperiodico. Autor de Desaparecidos en España (https://bit.ly/1nfpV6z), Les sectes a Catalunya (https://bit.ly/2qdN8dd) y L'ombra de les sectes</t>
  </si>
  <si>
    <t>santi calvo coloma</t>
  </si>
  <si>
    <t>A ver cuántos políticos acuden mañana realmente apoyar esta lucha. #45sindespidos #LeyDeCarreraMilitarÚnica #NosotrosLosSoldados @Albert_Rivera @ierrejon @pnique @sanchezcastejon @pablocasado_ @JLambanM @JucilZaragoza @jusapol @carlosherreracr @Frank_Cuesta @DebatAlRojoVivo</t>
  </si>
  <si>
    <t>https://pbs.twimg.com/media/DshpagsWsAAftfj.jpg</t>
  </si>
  <si>
    <t>Pablo Bonilla</t>
  </si>
  <si>
    <t>70000 militares con sus familias necesitan solución de verdad unión y fuerza</t>
  </si>
  <si>
    <t>Cáceres</t>
  </si>
  <si>
    <t>Telemadrid</t>
  </si>
  <si>
    <t>Coach. Licenciado en Psicología. Técnico de Inclusión Soc Laboral. De Cáceres. Real Madrid. Orgulloso de ser español. Del 87. 1xMaratón 🇪🇸 🇪🇸</t>
  </si>
  <si>
    <t>A las 13:15 entrevistamos en @120minutosTM a @Albert_Rivera 📡  #AlbertRivera120</t>
  </si>
  <si>
    <t>http://www.trainyourtalent.net</t>
  </si>
  <si>
    <t>https://pbs.twimg.com/media/DshpODJXgAAu56m.jpg</t>
  </si>
  <si>
    <t>Madrid (Spain)</t>
  </si>
  <si>
    <t>La actualidad de Madrid, nacional e internacional, y los últimos vídeos de programas como Tras la pista, Madrileños por el mundo, Madrid Directo...</t>
  </si>
  <si>
    <t>http://www.telemadrid.es</t>
  </si>
  <si>
    <t>Jose A. Cueto 🇪🇸🇧🇪</t>
  </si>
  <si>
    <t>¿Qué prensa tiene que leer el de "a pie" para evitar las trampas de las #FakeNews? @Pablo_Iglesias_ @pnique @sanchezcastejon @Albert_Rivera @gabrielrufian @KRLS Ya sé que no vais a perder el tiempo en contestar. #Prensa @rtve @elmundoes @elpais_espana @okdiario @eldiarioes</t>
  </si>
  <si>
    <t>Woluwe-Saint-Lambert, Belgique</t>
  </si>
  <si>
    <t>Le jour où on mettra les cons en orbite, beaucoup ne seront pas prêts de s'arrêter de tourner (M.Audiard)</t>
  </si>
  <si>
    <t>Ligre Barracudo</t>
  </si>
  <si>
    <t>Pensaba que era la pregunta del CIS para que Albert Rivera pudiera posicionar a Vox. RT @Silvi_ta: “Selecciona entre 0 y este señor al que no sabemos dónde colocar”</t>
  </si>
  <si>
    <t>https://twitter.com/silvi_ta/status/1065344900391145472</t>
  </si>
  <si>
    <t>Más comentados ahora en Derecha/Centro Dcha.: ➀ @gabrielrufian ↑ ➁ @sanchezcastejon ↑ ➂ @PSOE ↓ ➃ @Alvisepf ↑ ➄ @JosPastr ↓ ➅ @JosepBorrellF ↓ ➆ @Albert_Rivera ↓ ➇ @europapress ↑ ➈ @JaumeVivesVives ↑</t>
  </si>
  <si>
    <t>Grrrrrrrrrr. ❤️ = I have firm intention to read it later but we all know it will not happen.</t>
  </si>
  <si>
    <t>Joan Tardà llama fascista y se lo seguirá llamando de ahora en adelante a Albert Rivera en el Congreso</t>
  </si>
  <si>
    <t>https://www.asivaespana.com/politica/joan-tarda-llama-fascista-y-se-lo-seguira-llamando-de-ahora-en-adelante-a-albert-rivera-en-el-congreso</t>
  </si>
  <si>
    <t>La cobardía de @Albert_Rivera deja al descubierto su cercanía o indiferencia por la ultraderecha y sus argumentos fascistas, xenófobos y racistas. Si le molesta que lo califiquen así, que no se esconda ante los discursos llenos de odio e intolerancia. @CiudadanosCs @MelisaRguezCs RT @La_SER: Albert Rivera evita calificar a Vox como un partido de ultraderecha La entrevista completa del líder de @CiudadanosCs en @HoyPorHoy con @PepaBueno →</t>
  </si>
  <si>
    <t>Más influyentes ahora en Derecha/Centro Dcha.: ➀ @Alvisepf ↑ ➁ @JosPastr ↓ ➂ @Albert_Rivera ➃ @europapress ↑ ➄ @JaumeVivesVives ↑ ➅ @FroilLannister ↑↑↑ ➆ @Schuma78 ↑ ➇ @ldpsincomplejos ↑↑ ➈ @MariaJamardoC ↑</t>
  </si>
  <si>
    <t>José Castro</t>
  </si>
  <si>
    <t>Albert Rivera, en el 2017: "Montar un autobús no es hacer oposición, es un show" El líder de Cs arremetió contra el "autobús con pegatinas" de Podemos y ahora saca uno contra los indultos</t>
  </si>
  <si>
    <t>Hasta los cojones de la organización criminal: POLÍTICA-ECONÓMICA-MEDIÁTICA. Causantes de muchísimos males que ocurren en nuestras sociedades. MISERABLES-HDLGP.</t>
  </si>
  <si>
    <t>📺🔜 En breve estará @Albert_Rivera en @120minutosTM para valorar la actualidad política. 📲 ¡Aquí te dejamos el enlace para que lo sigas #EnDirecto !</t>
  </si>
  <si>
    <t>Armando Ruido</t>
  </si>
  <si>
    <t>▶️Me parece positivo. El país no se merece el chantaje de unos pocos votos. Urge una reforma de la ley electoral🔽🔽 Albert Rivera propondrá que los nacionalistas tengan un 3% de los votos para entrar en el Congreso  vía @elmundoes</t>
  </si>
  <si>
    <t>https://pbs.twimg.com/media/Dshl1hJWsAAVdkX.jpg</t>
  </si>
  <si>
    <t>Dany Besteiro</t>
  </si>
  <si>
    <t>Veo cosas como esta y me siento orgulloso de estar bloqueado por un fascista, en camino de declararse como tal explícitamente, como @Albert_Rivera RT @La_SER: Albert Rivera evita calificar a Vox como un partido de ultraderecha La entrevista completa del líder de @CiudadanosCs en @HoyPorHoy con @PepaBueno →</t>
  </si>
  <si>
    <t>Ingeniero en informática de sistemas. Postgrado en Publicidad y Comunicación Corporativa. Máster en Estudios Políticos Aplicados.</t>
  </si>
  <si>
    <t>Cuadernos TM</t>
  </si>
  <si>
    <t>LAS CARTAS BOCA ARRIBA (Por Paco Aguado) Os dejamos el artículo de esta semana de Paco Aguado, poniendo en su sitio, entre otros, a @Albert_Rivera y resto de la clase política.</t>
  </si>
  <si>
    <t>http://www.cuadernostm.com/blog/las-cartas-boca-arriba/#.W_VHGlRKi1s</t>
  </si>
  <si>
    <t>https://pbs.twimg.com/media/DshlPWLWoAAXv4E.jpg</t>
  </si>
  <si>
    <t>Para que triunfe el mal, basta con que los hombres de bien no hagan nada. Edmund Burke</t>
  </si>
  <si>
    <t>Perfil Oficial de la Revista Cuadernos de Tauromaquia.</t>
  </si>
  <si>
    <t>http://www.cuadernostm.com</t>
  </si>
  <si>
    <t>HINOJOS</t>
  </si>
  <si>
    <t>En España</t>
  </si>
  <si>
    <t>He vivido intensamente 78 años dedicados a mi familia y a mi país y sigo con la intención de disfrutar de lo mismo.</t>
  </si>
  <si>
    <t>..@Albert_Rivera tampoco cabe en el @PSOE al que yo me afilié. Ni en el de @abalosmeco</t>
  </si>
  <si>
    <t>Juan Carlos Sansano</t>
  </si>
  <si>
    <t>Fran A.M.🎗</t>
  </si>
  <si>
    <t>Los escupinajos a @JosepBorrellF en la #SesionDeControl del Congreso son como las piedras a @Albert_Rivera en #Alsasua</t>
  </si>
  <si>
    <t>pic.twitter.com/5ghv2Is2Vl</t>
  </si>
  <si>
    <t>Terrassa,Catalunya</t>
  </si>
  <si>
    <t>Papà. Conoci la muerte pero ahora vivo un sueño junto a Vane,Gala,Xavi y Buzz. #LlibertatPresosPolitics #Dempeus #NoPassaran</t>
  </si>
  <si>
    <t>MANUEL #YoConPedro ✊🌹</t>
  </si>
  <si>
    <t>Sin embargo si cataloga a Podemos de extrema izquierda. Se te ve el plumero @Albert_Rivera 👇 Rivera evita catalogar a Vox como un partido de extremaderecha: "No soy analista político"  vía @eldiarioes</t>
  </si>
  <si>
    <t xml:space="preserve">Málaga </t>
  </si>
  <si>
    <t>https://m.eldiario.es/_31f566ee</t>
  </si>
  <si>
    <t>Curioso, día a día.✊🔻</t>
  </si>
  <si>
    <t>Sierra de Segura, Jaén</t>
  </si>
  <si>
    <t>Militante del PSOE (Izquierda SOCIALISTA) 🔴. Republicano♥️💛💜. Ateo☠️. Animalista. #YoConPedro 🌹. NI OLVIDO, NI PERDONO 👊. #Followback a SOCIALISTAS 🌹</t>
  </si>
  <si>
    <t>Marc</t>
  </si>
  <si>
    <t>La gente de @CiudadanosCs no para de sacar bilis por la boca. @Albert_Rivera @InesArrimadas Calmaos ya y empezad a hacer política de una vez. RT @ESPCiudadana: 🇪🇸🚌 El autobús de #EspañaCiudadana ha estado en el @Congreso_Es y hemos repartido información sobre nuestra manifestación del sábado "STOP Sánchez, Elecciones ya". ❌ Es el momento de decir NO a los indultos. 👉 Te esperamos el sábado en la plaza Isabel II a las 12:00.</t>
  </si>
  <si>
    <t>EL MUNDO</t>
  </si>
  <si>
    <t>La propuesta de Albert Rivera para endurecer el acceso de los partidos nacionalistas al Congreso</t>
  </si>
  <si>
    <t>https://twitter.com/ESPCiudadana/status/1064830598945091585</t>
  </si>
  <si>
    <t>https://pbs.twimg.com/media/DscJqxFXcAARdHH.jpg</t>
  </si>
  <si>
    <t>https://trib.al/hMti3xD</t>
  </si>
  <si>
    <t>• Estudiante de programación • A veces opino sobre cosas • Instagram: en_marc •</t>
  </si>
  <si>
    <t>Cuenta oficial de EL MUNDO -YouTube http://bit.ly/2hBbolJ Bruselas se prepara para certificar el divorcio con el Reino Unido. (📷John Thys)</t>
  </si>
  <si>
    <t>http://www.elmundo.es/</t>
  </si>
  <si>
    <t>Mónica 😼</t>
  </si>
  <si>
    <t>A Albert Rivera le están dando 27 jaris con la portada de #TeléfonoRMX</t>
  </si>
  <si>
    <t>Adriwan</t>
  </si>
  <si>
    <t>Almenos @gabrielrufian no sale con 4 o 5 cubatas entre pecho y espalda como @Rafa_Hernando o @DolorsMM o puesto de coca hasta las cejas como @GirautaOficiaI o @Albert_Rivera RT @predator_3334: @Newtral Es inaguantable la chulería del matón de piscina Rufian, no se le puede permitir qye insulte a todo el mundo todos los días. Debían echarle cada día que insulte a alguien. Aparte que los demás debían ignorar sus preguntas y no responderle a nada, como si no existiera.</t>
  </si>
  <si>
    <t>https://pbs.twimg.com/media/Dsm6HrqWwAAn6wf.jpg</t>
  </si>
  <si>
    <t>https://twitter.com/predator_3334/status/1065201285597724672</t>
  </si>
  <si>
    <t>Corleone, Sicily</t>
  </si>
  <si>
    <t>Frankly my dear, I don't give a damn.</t>
  </si>
  <si>
    <t>Si, sóc un independentista estúpid. Donec perficiam.</t>
  </si>
  <si>
    <t>Antonio Diaz</t>
  </si>
  <si>
    <t>Por la misma razón, llamar fascistas a C'S no es insultar, es describir. Albert Rivera dice que llamar golpista “no es insultar, es describir” @lavanguardia</t>
  </si>
  <si>
    <t>Ser de derechas es mejor y mas fácil porque no tienes que pensar.</t>
  </si>
  <si>
    <t>Francisco J Cabacas</t>
  </si>
  <si>
    <t>Los jueces deben ser elegidos por jueces, en garantía de valores fundamentales del Estado de Derecho. Por tanto si, si, si y mil veces si a la propuesta de @CiudadanosCs @Albert_Rivera</t>
  </si>
  <si>
    <t xml:space="preserve">Zafra, Madrid </t>
  </si>
  <si>
    <t>Abogado. Campo extremeño y toro bravo. “Algún día yo saldré en hombros por esta puerta, y ustedes tendrán que quitarse la gorra”. Palomo Linares</t>
  </si>
  <si>
    <t>Enol</t>
  </si>
  <si>
    <t>Ahora mi duda es seria, ¿Albert Rivera se ha extremizado en estos años o es simplemente que lo ha camuflado algo mejor y ahora sólo deja de controlarse y dice lo que antes pensaba pero no decía? Yo creo que hay mezcla de ambas, que se deja llevar por el momento político también.</t>
  </si>
  <si>
    <t>Roberto García</t>
  </si>
  <si>
    <t>Al @PSOE le quedaban ya pocas cosas por hacer para caer tan bajo, pero poner en duda el trabajo parlamentario de un lider de la oposición, @Albert_Rivera, demuestra su desquiciamiento y su impotencia, ... eso sí, que si quiere a partir de ahora pasaremos lista. #EleccionesYA</t>
  </si>
  <si>
    <t>Derecho y Políticas UAM Ávila, Salobreña, Madrid, Torino</t>
  </si>
  <si>
    <t>https://pbs.twimg.com/media/Dshc8eOWsAAFddg.jpg</t>
  </si>
  <si>
    <t>Sergi Àlex</t>
  </si>
  <si>
    <t>Amante y disfrutador del buen comer y del buen beber en grata compañía. Enamorado de unos ojos sin igual y con cuatro grandes razones para luchar cada día.</t>
  </si>
  <si>
    <t>1997. MR Exclusiva. Estudiante de periodismo. Organizador del #TorneoExclusivas Claret / URL Blanquerna. Escribo en @sextoanillo @TimeJustOficial @CopaColegial</t>
  </si>
  <si>
    <t>Henar Ortiz Álvarez</t>
  </si>
  <si>
    <t>http://l.facebook.com/l.php?u=http%3A%2F%2Fsergialex53.wix.com%2Fsvclaret1415&amp;h=sAQE5L46l&amp;s=1</t>
  </si>
  <si>
    <t>¿Por qué @anapastorjulian no expulsó a @Albert_Rivera por llamarlos golpistas? #MalRollito #Injusticia #Democracia es la solución y la #Paz RT @La_SER: Gabriel Rufián, expulsado del Congreso tras llamar tras llamar "racista", "hooligan" e "indigno" al ministro Josep Borrell</t>
  </si>
  <si>
    <t>https://twitter.com/La_SER/status/1065167169984577542</t>
  </si>
  <si>
    <t>https://pbs.twimg.com/media/Dsg7fJIXgAcOcGm.jpg</t>
  </si>
  <si>
    <t>Titulares 24 horas</t>
  </si>
  <si>
    <t>¡Dona Médula! ¡Y sangre! ¡Y órganos! #AsturiasPaciónMágica -Me caí en ella de pequeña-</t>
  </si>
  <si>
    <t>El @Congreso_Es necesita YA la puesta en marcha del sistema del VAR. @gabrielrufian @JosepBorrellF @Pablo_Iglesias_ @sanchezcastejon @Albert_Rivera #SesionDeControl #escupitajo #insulto</t>
  </si>
  <si>
    <t>pic.twitter.com/1BRXaNUlcb</t>
  </si>
  <si>
    <t>Noticias las 24 horas del dia</t>
  </si>
  <si>
    <t>Adela Cañas Fermín</t>
  </si>
  <si>
    <t>Jordi UG</t>
  </si>
  <si>
    <t>Suerte que @Albert_Rivera no es analista político... Según él: - Podemos = extrema izquierda - PP = derecha - Cs = centro (extremo) 😂 - ERC + CUP + PDCAT = golpistas Pero no me pida calificar a VOX, eso se lo dejo a ustedes... Pues vaya con la valentía del líder de @CiudadanosCs</t>
  </si>
  <si>
    <t>https://ift.tt/2OUF76Z</t>
  </si>
  <si>
    <t>No hay alivio más grande que comenzar a ser lo que se es</t>
  </si>
  <si>
    <t>Más viejo que ayer. Más joven que mañana.</t>
  </si>
  <si>
    <t>http://lasabiduriarompioelsaco.blogspot.com/</t>
  </si>
  <si>
    <t>Miguel Damaré 🎗</t>
  </si>
  <si>
    <t>El odio y la indecencia te sales por los poros, @Albert_Rivera y todo por unos miserables votos. Das mucho asco. RT @Albert_Rivera: Indultos no, #EleccionesYa .</t>
  </si>
  <si>
    <t>Publicista y padre de profesión, tecknofrikie de afición - ESP CAT ENG - #creatividad #estrategia http://www.damare.net http://www.pildorasdecomunicacion.com</t>
  </si>
  <si>
    <t>http://about.me/mdamare</t>
  </si>
  <si>
    <t>Rojillo-andalú 🎗#15MLibertad</t>
  </si>
  <si>
    <t>Los fascistas de Ciudadanos, Cs, llamando racista y supremacista al Sr. Torra. Llamar falangistas a los de Albert Rivera se queda corto. Podrían ser aún peores😱</t>
  </si>
  <si>
    <t>Más comentados ahora en Derecha/Centro Dcha.: ➀ @gabrielrufian ↑ ➁ @elmundoes ↓ ➂ @sanchezcastejon ↓ ➃ @Alvisepf ↓ ➄ @JosPastr ↑ ➅ @JosepBorrellF ↑ ➆ @PSOE ↓ ➇ @ElAguijon_ ↓ ➈ @Albert_Rivera ↑ ➉ @pablocasado_ ↑</t>
  </si>
  <si>
    <t>https://pbs.twimg.com/media/Dsm2xlvWwAIE80H.jpg</t>
  </si>
  <si>
    <t>País Andaluz</t>
  </si>
  <si>
    <t>Decepcionado con lo que veo :-(</t>
  </si>
  <si>
    <t>Rivera acusa a los independentistas de "escupir a España"</t>
  </si>
  <si>
    <t>Nacho</t>
  </si>
  <si>
    <t>Pues normal. Como diría entonces @Albert_Rivera que ellos son de centro si ponen a Vox de extrema derecha. No colaría. Están mucho más cerca RT @La_SER: Albert Rivera evita calificar a Vox como un partido de ultraderecha La entrevista completa del líder de @CiudadanosCs en @HoyPorHoy con @PepaBueno →</t>
  </si>
  <si>
    <t>Patricia Ordóñez</t>
  </si>
  <si>
    <t>Estadio Vicente Calderon</t>
  </si>
  <si>
    <t>🔴⚪🔴</t>
  </si>
  <si>
    <t>https://www.instagram.com/nachete91/</t>
  </si>
  <si>
    <t>Espiritu crítico y soñadora...Sentido común. Apoyo mútuo. Voluntaria Associació @LlibresLliures. Entre el Clot y el Raval.</t>
  </si>
  <si>
    <t>Más influyentes ahora en Derecha/Centro Dcha.: ➀ @elmundoes ↓ ➁ @Alvisepf ↓ ➂ @JosPastr ↑ ➃ @ElAguijon_ ↓ ➄ @Albert_Rivera ↑ ➅ @alhucema66 ↑ ➆ @europapress ↑ ➇ @MariaTabarnia ↓ ➈ @JaumeVivesVives ↓ ➉ @MariaJamardoC ↑</t>
  </si>
  <si>
    <t>eZEBALLOS</t>
  </si>
  <si>
    <t>El Mundo España</t>
  </si>
  <si>
    <t>Menos mal @JosepBorrellF no es el @PSOE, @pablocasado_ el @PPopular ni @Albert_Rivera @CiudadanosCs, porque M.Rajoy es la madre Teresa de Calcuta al lado de estos desarrapados neofascistas de cuello blanco #ElsMatinsTV3 #rufian #broncacongresoarv</t>
  </si>
  <si>
    <t>Sección 'España' del diario El Mundo. #EleccionesGenerales #Politica #Tribunales #Seguridad #CasaReal #Partidos #Debate #Corrupcion #UltimaHora</t>
  </si>
  <si>
    <t>http://www.elmundo.es/espana.html</t>
  </si>
  <si>
    <t>Public health Ph.D; University professor, feminist, apprentice political scientist and a perfect globetrotter.</t>
  </si>
  <si>
    <t>Antonio Manrique</t>
  </si>
  <si>
    <t>Que mala es la hemeroteca Albertito!!! Albert Rivera, en el 2017: "Montar un autobús no es hacer oposición, es un show"</t>
  </si>
  <si>
    <t>CAONGD</t>
  </si>
  <si>
    <t>¿Sabéis en qué se traduce la inversión de España en AOD? Aquí os resumimos el trabajo de las ONGD españolas  #CooperaPaCuando @sanchezcastejon @Albert_Rivera @Pablo_Iglesias_ @agarzon @pablocasado_ @JoanTarda @AITOR_ESTEBAN @desdelamoncloa @JosepBorrellF</t>
  </si>
  <si>
    <t>http://informe2017.coordinadoraongd.org/</t>
  </si>
  <si>
    <t>https://pbs.twimg.com/media/DshVxU5WsAIDDZs.jpg</t>
  </si>
  <si>
    <t>La Coordinadora Andaluza de ONGD agrupa a seis plataformas provinciales y 66 organizaciones que trabajan en cooperación internacional para el desarrollo</t>
  </si>
  <si>
    <t>http://www.caongd.org</t>
  </si>
  <si>
    <t>DAVID FERNANDEZ</t>
  </si>
  <si>
    <t>Como se te ve el plumero @Albert_Rivera para catalogar a podemos y al Psoe si lo eres RT @eldiarioes: Rivera evita catalogar a Vox como un partido de extremaderecha: "No soy analista político"</t>
  </si>
  <si>
    <t>https://twitter.com/eldiarioes/status/1065164644275417088
https://www.eldiario.es/politica/Rivera-catalogar-Vox-extremadrecha-analista_0_838166254.html</t>
  </si>
  <si>
    <t>https://pbs.twimg.com/media/Dsg5kzfXgAANMg6.jpg</t>
  </si>
  <si>
    <t>ASTURIAS LO MAS GRANDE!!!</t>
  </si>
  <si>
    <t>DEL SPORTING Y DE IZQUIERDAS ✊🌹</t>
  </si>
  <si>
    <t>Gallaecia exiliada</t>
  </si>
  <si>
    <t>Pues hubiera estado bien qie le escupieran a @Albert_Rivera "ERC niega que alguno de sus diputados escupiera a Borrell"</t>
  </si>
  <si>
    <t>https://twitter.com/i/events/1065185695180849152</t>
  </si>
  <si>
    <t>Fantasía</t>
  </si>
  <si>
    <t>Os observamos</t>
  </si>
  <si>
    <t>🎥 Los grupos separatistas que quieren liquidar España aprovechan su sobrerrepresentación en el @Congreso_Es para decidir por todos. Hay que decir basta desde la democracia: Proponemos un corte electoral mínimo del 3% para entrar en la Cámara nacional.</t>
  </si>
  <si>
    <t>🔊 @Albert_Rivera "Delgado y Cosidó deben dimitir. La ministra está reprobada y las palabras de Cosidó sobre controlar la sala segunda del Tribunal Supremo son imperdonables" en @HoyPorHoy</t>
  </si>
  <si>
    <t>pic.twitter.com/oAGD3KP5T5</t>
  </si>
  <si>
    <t>Albert Rivera, en el 2017: "Montar un autobús no es hacer oposición, es un show" -</t>
  </si>
  <si>
    <t>En Jake</t>
  </si>
  <si>
    <t>🔴@JoanTarda, a @Albert_Rivera: “Cada vez que nos llame golpistas le diremos fascista”. #EnJakeETB | DIRECTO ➡️  @Xlapitz</t>
  </si>
  <si>
    <t>http://www.eitb.eus/es/television/programas/en-jake/</t>
  </si>
  <si>
    <t>https://pbs.twimg.com/media/DshUEF4WoAE5hJE.jpg</t>
  </si>
  <si>
    <t>https://noticierouniversal.com/actualidad/albert-rivera-en-el-2017-montar-un-autobus-no-es-hacer-oposicion-es-un-show/</t>
  </si>
  <si>
    <t>Bilbao, España</t>
  </si>
  <si>
    <t>@Xlapitz presenta En Jake en @euskaltelebista de lunes a viernes, a las 11h30 en ETB2. Toda la actualidad desde la perspectiva de Euskadi.</t>
  </si>
  <si>
    <t>Pedro Juan</t>
  </si>
  <si>
    <t>No es tan extraño que @Albert_Rivera no sea capaz de situar a @vox_es ideológicamente, él aún va diciendo que es de centro.</t>
  </si>
  <si>
    <t>Procrastinación personificada.</t>
  </si>
  <si>
    <t>Alfonso Puente</t>
  </si>
  <si>
    <t>Sin embargo, @Albert_Rivera, se te llena la boca llamando "golpistas" a los partidos independentistas catalanes y "populistas" a las gentes de Unidos Podemos. Eres analista para lo que quieres, sinvergüenza RT @La_SER: Albert Rivera evita calificar a Vox como un partido de ultraderecha La entrevista completa del líder de @CiudadanosCs en @HoyPorHoy con @PepaBueno →</t>
  </si>
  <si>
    <t>San Fernando de Henares</t>
  </si>
  <si>
    <t>Graduado en Periodismo y estudiando el Máster en Estudios Avanzados en Comunicación Política en la UCM</t>
  </si>
  <si>
    <t>http://caminodebaldosasmarillas.blogspot.com.es</t>
  </si>
  <si>
    <t>Mr.Buesa</t>
  </si>
  <si>
    <t>Jaume Pascual Jorda</t>
  </si>
  <si>
    <t>¿Como estan ustedes? @Albert_Rivera @CiudadanosCs 🥰😘 a sus compañeros de viaje @vox_es @Santi_ABASCAL Como normalizar a la extrema derecha… así nos va.. y después nos lamentaremos</t>
  </si>
  <si>
    <t>Gavà, España</t>
  </si>
  <si>
    <t>Barcelona, España. Estudiante de ingeniería aeroespacial en UPC @BarcelonaTech</t>
  </si>
  <si>
    <t>Alqueria d'Asnar</t>
  </si>
  <si>
    <t>http://www.dimonisrafolins.com</t>
  </si>
  <si>
    <t>José Alberto Alonso</t>
  </si>
  <si>
    <t>Es que @gabrielrufian es el #porquiño para la #matanza de esta año, sírvete un #cochinillo por #Navidad. @Tonicanto1 @toniroldanm @Albert_Rivera @InesArrimadas @CiudadanosCs @ESPCiudadana RT @toniroldanm: “Lo único que usted es capaz de producir es una mezcla de estiércol y serrín.” Coincido con el diagnóstico de @JosepBorrellF sobre la aportación de @gabrielrufian a esta cámara.</t>
  </si>
  <si>
    <t>https://twitter.com/toniroldanm/status/1065167008277438465</t>
  </si>
  <si>
    <t>TRES CANTOS (MADRID) LIBRE</t>
  </si>
  <si>
    <t>Abogado. Máster en Dirección de Constructoras e Inmobiliarias. Máster en Gestión de Servicios. Especialista en Derecho Civil, Administrativo y Mercantil.</t>
  </si>
  <si>
    <t>Lion King</t>
  </si>
  <si>
    <t>Al rojo vivo. La sexta TV. Si no fuera por que Pablo Casado y Albert Rivera son ya mayorcitos, diría que siguen creyendo en los Reyes Magos.</t>
  </si>
  <si>
    <t>📻@Albert_Rivera en @HoyPorHoy : 'A Sánchez no le importan los autónomos ni el IRPF, sino formar una mayoría política a cambio de indultos'</t>
  </si>
  <si>
    <t>https://pbs.twimg.com/media/DshReBaXcAA4oYM.jpg</t>
  </si>
  <si>
    <t>Manoliyo</t>
  </si>
  <si>
    <t>Malaga</t>
  </si>
  <si>
    <t>Andaluz, europeo, ateo y republicano</t>
  </si>
  <si>
    <t>http://malagafotoscotidianas.blogspot.com.es/</t>
  </si>
  <si>
    <t>🔊 @Albert_Rivera "El sanchismo ha decidido pactar con nacionalistas y populistas; se equivocan de aliados. Ayer el partido socialista dijo que ellos están abiertos a indultar a los golpistas en Cataluña y es intolerable; hay que respetar las decisiones judiciales" en @HoyPorHoy</t>
  </si>
  <si>
    <t>Pedro Dominguez</t>
  </si>
  <si>
    <t>pic.twitter.com/g9j4cZWJNk</t>
  </si>
  <si>
    <t>Un lugar llamado mundo</t>
  </si>
  <si>
    <t>Partisano, republicano y ateocristiano. Retuiteo mucha información contrastada y poca opinión.</t>
  </si>
  <si>
    <t>Mario Montero 🇪🇺</t>
  </si>
  <si>
    <t>Los españoles pagamos a todos los diputados para que cumplan las funciones de su cargo, entre ellas, el control al Gobierno. En la sesión de de hoy, @Albert_Rivera ha preferido no ir al Congreso para ser entrevistado. Una falta de respeto a los españoles. RT @La_SER: Albert Rivera evita calificar a Vox como un partido de ultraderecha La entrevista completa del líder de @CiudadanosCs en @HoyPorHoy con @PepaBueno →</t>
  </si>
  <si>
    <t>Socialdemócrata🌹 Europeísta 🇪🇺 ''La libertad no hace ni más ni menos felices a los hombres; los hace, sencillamente, hombres.'' Derecho y Políticas UC3M</t>
  </si>
  <si>
    <t>Germán Zambrana</t>
  </si>
  <si>
    <t>Vaya por Dios Albertito Albert Rivera, en el 2017: "Montar un autobús no es hacer oposición, es un show"</t>
  </si>
  <si>
    <t>Eduardo Rubiño🏳️‍🌈</t>
  </si>
  <si>
    <t>Todos los días Cs nos llama “populistas”, “extrema izquierda” y cosas por el estilo, pero claro con Vox @ignacioaguado y @Albert_Rivera son muy escrupulosos, eso de las etiquetas está feo entre compañeros. Poca vergüenza. RT @La_SER: Albert Rivera evita calificar a Vox como un partido de ultraderecha La entrevista completa del líder de @CiudadanosCs en @HoyPorHoy con @PepaBueno →</t>
  </si>
  <si>
    <t>https://twitter.com/la_ser/status/1065154211707404288?s=21
http://cadenaser.com/programa/2018/11/20/hoy_por_hoy/1542712340_800654.html</t>
  </si>
  <si>
    <t>Badalona, Barcelona</t>
  </si>
  <si>
    <t>•Politics •International Affairs •US politics •European Union •Sports •Periodismo UAB •Colaborador @bdncom •RT's are not endorsements</t>
  </si>
  <si>
    <t>Diputado de la Asamblea de Madrid. Miembro del Consejo Ciudadano Estatal de @ahorapodemos. Defendiendo la Universidad Pública y los derechos LGTBIQ.</t>
  </si>
  <si>
    <t>https://www.instagram.com/eduardo_rubino/</t>
  </si>
  <si>
    <t>Brais Rodríguez</t>
  </si>
  <si>
    <t>Ahora es cuando salen Albert Rivera y Pablo Casado a decir eso de: "Yo quiero parecerme a Alemania 🇩🇪🇩🇪🇩🇪 y no a Venezuela 🇻🇪🇻🇪🇻🇪." @revistamongolia @AntonioMaestre @El_Plural @pardodevera @protestona1</t>
  </si>
  <si>
    <t>https://pbs.twimg.com/media/DsmyUi4XQAAPYyG.jpg</t>
  </si>
  <si>
    <t>🔊 @Albert_Rivera "Los andaluces quieren cambio: Cs es el único partido que sigue creciendo en Andalucía. Tenemos una responsabilidad histórica; los andaluces necesitan un cambio tras 40 años de PSOE" en @HoyPorHoy</t>
  </si>
  <si>
    <t>Europa 🇪🇺🇪🇺🇪🇺</t>
  </si>
  <si>
    <t>pic.twitter.com/Mn9FuyBAF7</t>
  </si>
  <si>
    <t>Emperador del Sacro Imperio Romano Germánico 🇩🇪🇩🇪🇩🇪.</t>
  </si>
  <si>
    <t>Hay una explicación muy sencilla por la que @Albert_Rivera no califica a VOX como un partido de extremaderecha. SON LO MISMO. FIN</t>
  </si>
  <si>
    <t>pic.twitter.com/gEUhlxGA3j</t>
  </si>
  <si>
    <t>pic.twitter.com/Ukh2a1c2JI</t>
  </si>
  <si>
    <t>Los compliC's del @albert_rivera,q dia si y dia no van etiquetando a las gentes,por que ellos son muy constitunacionalista faltaria más,ahora se hacen los ofendiditos xq se les llamas facistas,yo os llamos facistas y complices de los ladrones ppsoe,otros constitunacionalistas😂😂</t>
  </si>
  <si>
    <t>🔊 @Albert_Rivera "El Consejo de Europa nos tira de las orejas y nos pide que cambiemos el método de elección de los jueces del poder judicial. Hagamos una reforma para cambiar el modelo y recuperar la credibilidad que se ha perdido" en @HoyPorHoy</t>
  </si>
  <si>
    <t>pic.twitter.com/U8ewrG0E0E</t>
  </si>
  <si>
    <t>🔊 @Albert_Rivera "No hay mayor politización en la Justicia que haya cargos que se levantan de un escaño y se sientan en el poder judicial. Nosotros proponemos que sean los jueces quienes elijan sus órganos de poder; no los partidos" en @HoyPorHoy</t>
  </si>
  <si>
    <t>pic.twitter.com/H42k6gG171</t>
  </si>
  <si>
    <t>CMC</t>
  </si>
  <si>
    <t>Llamar fascista a Albert Rivera no lo convierte en tal. No llamar golpista a ERC no hace que no lo sea. RT @GuajeSalvaje: Tardà se olvida la medicación, le entra la calentura y llama fascista a Albert Rivera. Fascista y asesina fue ERC durante la Guerra Civil. Fascistas son sus herederos, que acallan a la oposición en el Parlament, y acosan, persiguen y discriminan a los constitucionalistas.</t>
  </si>
  <si>
    <t>https://twitter.com/GuajeSalvaje/status/1064954703992299523</t>
  </si>
  <si>
    <t>🗣️@Albert_Rivera : "¡Vergüenza de país; la justicia⚖️, denigrada por políticos" 📰Puedes leerlo en Canarias en Hora👇</t>
  </si>
  <si>
    <t>pic.twitter.com/Sr1EHfTjT6</t>
  </si>
  <si>
    <t>http://canariasenhora.com/#!/rivera-que-verguenza-de-pais-la-justicia-denigrada-por-algunos-politicos</t>
  </si>
  <si>
    <t>Pierdetiempo.</t>
  </si>
  <si>
    <t>Mariano Zurdo</t>
  </si>
  <si>
    <t>Albert Rivera confirma que seguirá llamando golpistas a ERC y “esos señores tan majos del aguilucho" a VOX.</t>
  </si>
  <si>
    <t>Héctor Rivero García</t>
  </si>
  <si>
    <t>Tras años de caída en picado, la Política de Cooperación se encuentra en mínimos y a la cola de Europa. De 15 países ocupamos el puesto 14 #CooperaPaCuando #PGE2019  @sanchezcastejon @Albert_Rivera @Pablo_Iglesias_ @pablocasado_ @JoanTarda @AITOR_ESTEBAN</t>
  </si>
  <si>
    <t>Madrid (España)</t>
  </si>
  <si>
    <t>Editor de Talentura. Escritor en busca de talento. Psicólogo y potencial paciente. Y, esencialmente, raro.</t>
  </si>
  <si>
    <t>http://mvazurdo.wix.com/marianozurdo</t>
  </si>
  <si>
    <t>https://bit.ly/2PYjPtE</t>
  </si>
  <si>
    <t>https://pbs.twimg.com/media/DshODxBXQAAAy7O.jpg</t>
  </si>
  <si>
    <t>Voy por la vida aprendiendo a ser feminista, acompañado de mis contradicciones e incoherencias, que son muchas, y apoyado en mis pocas certezas, que son fuertes</t>
  </si>
  <si>
    <t>Aquí el sinvergüenza rivera como los peperos que no tienen cojones a llamar a la extrema derecha por su nombre.... que patético eres @Albert_Rivera RT @La_SER: Albert Rivera evita calificar a Vox como un partido de ultraderecha La entrevista completa del líder de @CiudadanosCs en @HoyPorHoy con @PepaBueno →</t>
  </si>
  <si>
    <t>Legislatura del PSOE bloqueada, amenazas de muerte por parte de los socios de ERC y PDeCAT (Arran) a Borrell y otros socialistas, acoso a los militantes y cargos del PSC en Cataluña. Qué pacto más raro el de @sanchezcastejon con los de Rufián, ¿no, @Albert_Rivera y @pablocasado_?</t>
  </si>
  <si>
    <t>Compostela24horas.com</t>
  </si>
  <si>
    <t>NACIONAL | @Albert_Rivera afirma que a @sanchezcastejon solo le importa "formar una mayoría política a cambio de indultos"</t>
  </si>
  <si>
    <t>https://www.compostela24horas.com/texto-diario/mostrar/1259516/rivera-afirma-pedro-sanchez-solo-importa-formar-mayoria-politica-cambio-indultos</t>
  </si>
  <si>
    <t>Santiago de Compostela, España</t>
  </si>
  <si>
    <t>El primer diario digital de Santiago de Compostela. Toda la información de Compostela y su área metropolitana.</t>
  </si>
  <si>
    <t>http://www.compostela24horas.com</t>
  </si>
  <si>
    <t>Capitán Apio</t>
  </si>
  <si>
    <t>Hola @Albert_Rivera ¿sois conscientes del ridículo que estáis haciendo, verdad? 😂😂😂😂</t>
  </si>
  <si>
    <t>https://pbs.twimg.com/media/DshL5TdWoAAHpne.jpg</t>
  </si>
  <si>
    <t>carlos jesús</t>
  </si>
  <si>
    <t>FFAA Y PNP: EN ESPAÑA RESPETAN PENSIONES DE LOS POLICÍAS Y EN E...</t>
  </si>
  <si>
    <t>Wichita, KS</t>
  </si>
  <si>
    <t>Antes de odiar conviene estar informado.</t>
  </si>
  <si>
    <t>https://acidel.blogspot.com/2018/11/albert-rivera-proposicion-para-la.html?spref=tw</t>
  </si>
  <si>
    <t>Antonio Javier Monge</t>
  </si>
  <si>
    <t>Alguien puede decirle al Sr. Casado cada vez que pide elecciones que fueron ellos los que entregaron el Gobierno a esta banda? @Albert_Rivera, por favor, que le callen la boca.</t>
  </si>
  <si>
    <t>Albert Rivera “Llamar golpistas a los presos del procés no es insultar, es describir”</t>
  </si>
  <si>
    <t>CORDOBA</t>
  </si>
  <si>
    <t>Un día te mueres, pero los demás NO.</t>
  </si>
  <si>
    <t>Más comentados ahora en Derecha/Centro Dcha.: ➀ @elmundoes ↑↑↑ ➁ @gabrielrufian ↓ ➂ @sanchezcastejon ↓ ➃ @PSOE ↑ ➄ @JosPastr ↑ ➅ @ElAguijon_ ↑ ➆ @JosepBorrellF ↑↑ ➇ @Albert_Rivera ↓ ➈ @MariaTabarnia ↑↑ ➉ @Alvisepf ↓</t>
  </si>
  <si>
    <t>Sr. Lobo</t>
  </si>
  <si>
    <t>Albert Rivera llamando al servicio técnico de Dyson porque no le funciona la “aspiradora”...</t>
  </si>
  <si>
    <t>Más influyentes ahora en Derecha/Centro Dcha.: ➀ @elmundoes ↑↑↑ ➁ @JosPastr ↑ ➂ @ElAguijon_ ↑ ➃ @Alvisepf ↓ ➄ @Albert_Rivera ↓ ➅ @altamiranoMLG ↑ ➆ @JaumeVivesVives ↑ ➇ @MariaTabarnia ↑ ➈ @GirautaOficial ↑</t>
  </si>
  <si>
    <t>Jorgeous Jimenez</t>
  </si>
  <si>
    <t>Cómo eres capaz entonces de asegurar que tú partido es de centro, @Albert_Rivera? RT @eldiarioes: Rivera evita catalogar a Vox como un partido de extremaderecha: "No soy analista político"</t>
  </si>
  <si>
    <t>El Local de #Garrido</t>
  </si>
  <si>
    <t>PE LA ZO</t>
  </si>
  <si>
    <t>Madrid. ESP</t>
  </si>
  <si>
    <t>Milenial pero no mucho.</t>
  </si>
  <si>
    <t>#AUDIO Escucha la rotunda respuesta de @HerreraenCOPE a Tardá tras llamar "fascista" a @Albert_Rivera</t>
  </si>
  <si>
    <t>http://ww.cope.es/nfbat2</t>
  </si>
  <si>
    <t>🔊@Albert_Rivera "El bipartidismo del #PPSOE ha hecho un daño tremendo con la politización de la Justicia. Deberían rectificar y pedir disculpas a los jueces y fiscales; se tiene que cambiar el sistema de elección de los órganos de poder de los jueces" en @HoyPorHoy</t>
  </si>
  <si>
    <t>pic.twitter.com/7KwYB530pA</t>
  </si>
  <si>
    <t>ALBERT RIVERA y sus antecedentes FALANGISTAS 🌏 forma política del Estado, 📣 REPUBLICANISMO,</t>
  </si>
  <si>
    <t>https://goo.gl/b3cNwy?xge72=8223875128</t>
  </si>
  <si>
    <t>SHARP</t>
  </si>
  <si>
    <t>Joder @Albert_Rivera .. sois la polla tete .. me os mal que no eres analista y eso .. ah coño con los de izquierdas si ..</t>
  </si>
  <si>
    <t>https://pbs.twimg.com/media/DshJF7qXgAAmBj3.jpg</t>
  </si>
  <si>
    <t xml:space="preserve">Pais Valencià </t>
  </si>
  <si>
    <t>Todo fascista ,nazi o racista no es bien recibido . Somos los hijos del pueblo y del proletariado . Ni dios ni patria ni amo. No pasaran !!</t>
  </si>
  <si>
    <t>Pepone Bernal</t>
  </si>
  <si>
    <t>"Ayer escupieron a España" Albert Rivera. Sinvergüenza incendiario.</t>
  </si>
  <si>
    <t>Víctor García González</t>
  </si>
  <si>
    <t>Un político aprovecharía el escupitajo de Capdevila y los exabruptos de Rufián para restregarle al presidente que esos son sus socios. Un estadista aprovecharía para decirle al presidente que no necesita a esa gentuza y ofrecer su apoyo en su lugar. CC/ @Albert_Rivera</t>
  </si>
  <si>
    <t>Torre del Mar, Málaga, España.</t>
  </si>
  <si>
    <t>El único partido razonable en un siglo ridículo es reírse de todo. He tomado el partido de la risa y quiero morir riendo (Voltaire, a D'Alembert, 1760).</t>
  </si>
  <si>
    <t>Heimish</t>
  </si>
  <si>
    <t>La entrevista ha sido una completa decepción...una pena @Albert_Rivera tu giro y, por ende, el de @CiudadanosCs , una verdadera pena. RT @La_SER: Albert Rivera evita calificar a Vox como un partido de ultraderecha La entrevista completa del líder de @CiudadanosCs en @HoyPorHoy con @PepaBueno →</t>
  </si>
  <si>
    <t>Informático, seguidor del Real Oviedo y socio fundador de la Peña Azul Madrid</t>
  </si>
  <si>
    <t>Adri</t>
  </si>
  <si>
    <t>La triple vara de medir de la gentuza del @PSOE. Cuando salen los fascistas de @pablocasado_ y @Albert_Rivera a insultar a los representantes elegidos DEMOCRÁTICAMENTE por los catalanes, no se les echa del hemiciclo. Pues nada, la libertad de expresión muy bonita y tal.</t>
  </si>
  <si>
    <t>Slowpoke nivel 23. Misántropo. English teacher. Tengo alma de drag queen. Ravenclaw. LittleMonster. Ojalá valer mi peso en oro, me haría millonario. 魔法</t>
  </si>
  <si>
    <t>http://adrycasares6.tumblr.com</t>
  </si>
  <si>
    <t>Elías.Chaar</t>
  </si>
  <si>
    <t>Clase de @Albert_Rivera como no perder amigos. RT @La_SER: Albert Rivera evita calificar a Vox como un partido de ultraderecha La entrevista completa del líder de @CiudadanosCs en @HoyPorHoy con @PepaBueno →</t>
  </si>
  <si>
    <t>Adrián</t>
  </si>
  <si>
    <t>Albert Rivera 🇪🇸 evita calificar a Vox 🇪🇸 como partido de extrema derecha: 1- Porque son sus amigos. 2- Porque no le interesa que la gente vea similitudes ideológicas con C's 🇪🇸. 3- Porque quiere seguir diciendo que es liberal y de centro. RT @La_SER: Albert Rivera evita calificar a Vox como un partido de ultraderecha La entrevista completa del líder de @CiudadanosCs en @HoyPorHoy con @PepaBueno →</t>
  </si>
  <si>
    <t>Amante de la política.Definirse es limitarse. Futbolero⚽️.</t>
  </si>
  <si>
    <t>Madridismo a pesar de todo. Opositor al Régimen 🇪🇸. Official account. #LibertadPresosPolíticos</t>
  </si>
  <si>
    <t>📰 @Albert_Rivera 'Sánchez, Iglesias y Junqueras cambian indultos por escaños y eso es inmoral' ⛔️Rechazada con los votos en contra del Gobierno y sus socios, una iniciativa de Cs para no conceder indultos a quien resulte condenado por el golpe separatista</t>
  </si>
  <si>
    <t>https://www.ciudadanos-cs.org/prensa/rivera-sanchez-iglesias-y-junqueras-cambian-indultos-por-escanos-y-eso-es-inmoral/11085</t>
  </si>
  <si>
    <t>https://pbs.twimg.com/media/DshGPGmXoAAJmAw.jpg</t>
  </si>
  <si>
    <t>Walter White</t>
  </si>
  <si>
    <t>Albert Rivera solo ve españoles, excepto: - Si votas a PODEMOS - Si votas a IU - Si votas ERC - Si votas a PACMA - Si eres sindicalista - Si eres de FEMEN - Si eres de EQUO - Si eres antifranquista - Si eres antifascista - Si estás en contra de la gestación subrogada</t>
  </si>
  <si>
    <t>C10H15N</t>
  </si>
  <si>
    <t>Imagino que no estaré aquí durante mucho tiempo.</t>
  </si>
  <si>
    <t>#España @Albert_Rivera: 'A Sánchez no le importan los autónomos ni el IRPF, si no formar una mayoría política a cambio de indultos' @CiudadanosCs</t>
  </si>
  <si>
    <t>http://www.lacerca.com/noticias/espana/rivera-sanchez-le-irpf-mayoria-politica-cambio-indultos-445835-1.html</t>
  </si>
  <si>
    <t>Después del circo de Rufián. Escupen a Borrel. Si tuviera un poco de vergüenza el Cum Fraude, llamaría @pablocasado_ @Albert_Rivera para cambiar ley electoral y dejen de gobernarnos 4 golpistas sobre 47 millones de demócratas Será pedir mucho al PSOE socio de Bildu.</t>
  </si>
  <si>
    <t>pic.twitter.com/0NhzWx8lXW</t>
  </si>
  <si>
    <t>No verás a @Albert_Rivera denunciar estos ataques fascistas. RT @manelmarquez: Las sedes de los partidos #TEC (CatenComu - Podemos) #ERC #Pdecat y del #ANC de #Terrassa han sido atacadas con pintura esta madrugada. Toda mi solidaridad!  Una nuevo ataque a la democracia un nuevo ataque #fascista! Pero #NoPassaran!</t>
  </si>
  <si>
    <t>https://twitter.com/manelmarquez/status/1065166228149411840
https://elmon.cat/monterrassa/politica/del-pdecat-lanc-terrassa-lleven-empastifades-pintura-2</t>
  </si>
  <si>
    <t>https://pbs.twimg.com/media/Dsg7A0iXQAEFz9R.jpg</t>
  </si>
  <si>
    <t>Albert Rivera, es mas hijo de puta, de lo que parece, ?quien a escupido la Constitución y a España?, es un cabrón mentiroso</t>
  </si>
  <si>
    <t>Lourdes Pallarès 🎗</t>
  </si>
  <si>
    <t>Lo de haber escupido a @JosepBorrellF es tan cierto como lo de las piedras de @Albert_Rivera en #Alsasua</t>
  </si>
  <si>
    <t>En repòs per obligació. Apassionada amb el moment que viu el meu País. Si en algun moment m'excedeixo una mica, no m'ho tingueu en compte, sóc bona gent. 🙂</t>
  </si>
  <si>
    <t>Si hay que explicarte las diferencias entre entrar en el Parlamento de los Diputados pegando tiros y poner urnas para que el pueblo catalán decida su futuro .. ya lo tuyo no tiene remedio @Albert_Rivera #SesionDeControl "Gabriel Rufián" #RiveraFascista RT @Albert_Rivera: 🏛 Una nación decente no promete ni regala impunidad a quienes intentan liquidar la democracia. Señores del PSOE y de Podemos, ¿ustedes hubieran indultado a Tejero? Nosotros nunca. ¿Por qué quieren indultar a los golpistas separatistas? #STOPIndultos</t>
  </si>
  <si>
    <t>uRu</t>
  </si>
  <si>
    <t>24/7 Albert Rivera en @elprogramadear @EspejoPublico y @DebatAlRojoVivo #FelizJueves</t>
  </si>
  <si>
    <t>https://pbs.twimg.com/media/DsmomAuWwAAONsI.jpg</t>
  </si>
  <si>
    <t>[hater]</t>
  </si>
  <si>
    <t>La rotunda respuesta de @CarlosHerreracr a Tardá @JoanTarda tras llamar "fascista" a Rivera @Albert_Rivera</t>
  </si>
  <si>
    <t>Wysu</t>
  </si>
  <si>
    <t>tener que soportar a Albert Rivera todos los días en la TV equivale a un año en un gulag, porque madre mia que pesadez. HELICOPTERO, HELICOPTERO, HELICOPTEROOOOOOOOOOOOO</t>
  </si>
  <si>
    <t>https://www.cope.es/a/581369</t>
  </si>
  <si>
    <t>Y el cielo se cae a la tierra cuando parpadea.</t>
  </si>
  <si>
    <t>https://youtu.be/cN0IuqgC3N8</t>
  </si>
  <si>
    <t>Bernat Castro 🦊</t>
  </si>
  <si>
    <t>Ayer Albert Rivera evitaba catalogar a VOX como extrema derecha, hoy Pablo Casado evita condenar el Franquismo, muy buenos cortes de @enjakeETB por parte de @Xlapitz. #EnJakeETB</t>
  </si>
  <si>
    <t>Ricardo Aguado</t>
  </si>
  <si>
    <t>Diputados que escupen en el Congreso deben ser expulsados. Yo no quiero pagar esos sueldos. Ilegalización de ERC YA. @Albert_Rivera @pablocasado_ @JosepBorrellF</t>
  </si>
  <si>
    <t>pic.twitter.com/a331IEKjSC</t>
  </si>
  <si>
    <t>Barcelona - Nou Barris</t>
  </si>
  <si>
    <t>He colaborado en @RAC1, @MinoriaAB, @BenTrobats, @CatalunyaRadio y @La_SER - #Comunicación 2.0 - #Martens22 - Contacto: ber.contacto@gmail.com</t>
  </si>
  <si>
    <t>http://Instagram.com/berlustinho</t>
  </si>
  <si>
    <t>ant 🏳️‍🌈</t>
  </si>
  <si>
    <t>La verdad es que no se me ocurre ninguna razón para que @Albert_Rivera evite calificar a VOX como extrema derecha. Es que ni una.</t>
  </si>
  <si>
    <t>https://pbs.twimg.com/media/Dsg-S7oW0AAuF6_.jpg</t>
  </si>
  <si>
    <t>Just another idiot with a Twitter account.</t>
  </si>
  <si>
    <t>F. Prado Alberdi</t>
  </si>
  <si>
    <t>No señor @Albert_Rivera, ustedes son más de salir escopetados del Parlamento cada vez que hay que condenar el franquismo. #RiveraFascista RT @Albert_Rivera: 🏛 Una nación decente no promete ni regala impunidad a quienes intentan liquidar la democracia. Señores del PSOE y de Podemos, ¿ustedes hubieran indultado a Tejero? Nosotros nunca. ¿Por qué quieren indultar a los golpistas separatistas? #STOPIndultos</t>
  </si>
  <si>
    <t>Gijón (Asturias), España</t>
  </si>
  <si>
    <t>Metalúrgico, ahora jubilado. Sindicalista, ahora emérito. Presido una Fundación Cultura de CC. OO. de Asturias.</t>
  </si>
  <si>
    <t>http://pradoalberdi.wordpress.com/</t>
  </si>
  <si>
    <t>#loshuevos</t>
  </si>
  <si>
    <t>30seg. 30seg. Es lo que ha tardado @Albert_Rivera en 'etiquetar' a @ahorapodemos e #independentistas llamándoles #populistas y #golpistas. 30seg. antes le había asegurado a @PepaBueno que él no pone etiquetas a nadie. @HoyPorHoy #sinvergüenza</t>
  </si>
  <si>
    <t>Hasta los huevos de periodistas parciales al dictado de los políticos corruptos.</t>
  </si>
  <si>
    <t>Más comentados ahora en Derecha/Centro Dcha.: ➀ @sanchezcastejon ↓ ➁ @susanadiaz ↑↑ ➂ @PSOE ↑ ➃ @gabrielrufian ↓ ➄ @Albert_Rivera ↑ ➅ @Alvisepf ↑↑↑ ➆ @currusquita ↑ ➇ @altamiranoMLG ↓ ➈ @GirautaOficial ↓ ➉ @JoanTarda ↓</t>
  </si>
  <si>
    <t>mamen</t>
  </si>
  <si>
    <t>Un momento que echo un vistazo al congreso y es repugnante y vergonzoso la falta de respeto y educación. Estos políticos no pueden representar a un pueblo. @Pablo_Iglesias_ @agarzon @sanchezcastejon @pablocasado_ @Albert_Rivera</t>
  </si>
  <si>
    <t>Camaraldo</t>
  </si>
  <si>
    <t>No sé si compite por el voto de VOX o quiere quitarle el puesto de cuñado a Albert Rivera Pablo Casado dice que la exaltación del franquismo solo debería estar prohibida si es violenta, como la del comunismo -</t>
  </si>
  <si>
    <t>Javier Cañizares</t>
  </si>
  <si>
    <t>Vaya, @Albert_Rivera e @InesArrimadas, imagino que saldréis ahora por TV a denunciar este tipo de señalamie... ¡AH! No, espera, que ese autocar es VUESTRO. Ganar votos a base de odio es lo único que sabéis hacer y es caer en lo más profundo de las cloacas del estado. RT @rac1: Un autocar de Ciutadans recorre Madrid en contra de l’indult als independentistes empresonats amb imatges d'Oriol Junqueras rient</t>
  </si>
  <si>
    <t>https://m.eldiario.es/31fabdf9_838516217/</t>
  </si>
  <si>
    <t>https://twitter.com/rac1/status/1064990660430913538
https://www.rac1.cat/info-rac1/20181120/453073235347/autocar-campanya-ciutadans-oriol-junqueras-carles-puigdemont.html</t>
  </si>
  <si>
    <t>España, Fondo de Bikini</t>
  </si>
  <si>
    <t>Bueno, pues molt bé, pues adiós #Entesos? 👍 ||*|| #LlibertatPresosPolíticsIExiliats ✊🎗 #ElCatalàNOEsToca!!!</t>
  </si>
  <si>
    <t>Falso autónomo en el Crustáceo Crujiente. Jornada de 8 horas al día por 700€ mensuales. Mi jefe se lleva el dinero a Panamá. Aún así sigo defendiendo el sistema</t>
  </si>
  <si>
    <t>http://spanishpolice.github.io</t>
  </si>
  <si>
    <t>♀ Skandela ♀</t>
  </si>
  <si>
    <t>Albert Rivera diciendo que ERC escupe todos los dias la Constitución. No como esos nostálgicos a los que protege.</t>
  </si>
  <si>
    <t>Más influyentes ahora en Derecha/Centro Dcha.: ➀ @Alvisepf ↑↑↑ ➁ @Albert_Rivera ↓ ➂ @currusquita ↑ ➃ @altamiranoMLG ↓ ➄ @pepito_garca ↓ ➅ @GirautaOficial ↓ ➆ @ldpsincomplejos ↑ ➇ @Nanchinho ↓ ➈ @MariaTabarnia ↑</t>
  </si>
  <si>
    <t>En el bar.</t>
  </si>
  <si>
    <t>Intento de guitarrista/ Casada con la cerveza y amante del Ska/ Si el Punk está muerto, decidme donde estoy enterrada// 1999</t>
  </si>
  <si>
    <t>DIVERGENCIAS</t>
  </si>
  <si>
    <t>Lo que pasa, Sr. ⁦@JoanTarda⁩ es que aunque usted insista ni ⁦@CiutadansCs⁩ son fascistas ni ⁦@Societatcc⁩ es extrema derecha. En cambio ustedes son los modernos golpistas del s. XXI. Si le molesta no lo diremos, pero seguirán siéndolo</t>
  </si>
  <si>
    <t>Para que va a opinar @Albert_Rivera sobre un partido como Vox que es preconstitucionalista, antieuropeísta, xenófobo y ultraconservador? Sería lo mismo que si estuviera categorizando a @CiudadanosCs con total sinceridad RT @La_SER: Albert Rivera evita calificar a Vox como un partido de ultraderecha La entrevista completa del líder de @CiudadanosCs en @HoyPorHoy con @PepaBueno →</t>
  </si>
  <si>
    <t>https://www.lavanguardia.com/politica/20181120/453073801172/joan-tarda-albert-rivera-cada-vez-golpistas-llamaremos-fascista.html</t>
  </si>
  <si>
    <t>BAIX LLOBREGAT-BCN-CAT-ESP</t>
  </si>
  <si>
    <t>Esperando q la sociedad civil q empujó a los presos a la cárcel les pida perdón ahora. Pero parece que prefieren cargar contra la Justicia por hacer su trabajo</t>
  </si>
  <si>
    <t>http://divergenciax.wordpress.com</t>
  </si>
  <si>
    <t>Sergio🇪🇸 🇮🇱 🇮🇳🇺🇸</t>
  </si>
  <si>
    <t>Que inculto es Albert Rivera sabe mas lo que dice una feminazi del Twitter o ub muerto de hambre progre de Twitter RT @La_SER: Albert Rivera evita calificar a Vox como un partido de ultraderecha La entrevista completa del líder de @CiudadanosCs en @HoyPorHoy con @PepaBueno →</t>
  </si>
  <si>
    <t>Agencia Atlas</t>
  </si>
  <si>
    <t>.@Albert_Rivera : "Ciudadanos va a ser el único partido que crezca en Andalucía"</t>
  </si>
  <si>
    <t>http://www.atlas-news.com/agencia-internet/politica/Rivera-Ciudadanos-partido-crezca-Andalucia_3_1509479047.html</t>
  </si>
  <si>
    <t>Centro de España</t>
  </si>
  <si>
    <t>Wrestling y fútbol / Conservador y Católico / #Yovotoavox / malaguista en Madrid / WWE y Wrestling indie / andaluz y castellano/ Jaén Fs/#Istandwithisrael</t>
  </si>
  <si>
    <t>Más de 100 noticias diarias para TV e Internet. We produce and distribute over 100 daily news stories for TV and Internet. pagencia@atlas-news.com +34913966762</t>
  </si>
  <si>
    <t>http://www.atlas-news.com</t>
  </si>
  <si>
    <t>Aalegre  🦄🌈</t>
  </si>
  <si>
    <t>Se me ha ocurrido una idea como evolución al chiste de "van dos y se cae el del medio": "Van Pablo Casado y Albert Rivera, y se cae el de derechas" Pido disculpas por adelantado, llevo una semana con la cabeza muy densa...</t>
  </si>
  <si>
    <t>Toni Gallardo 🎗️</t>
  </si>
  <si>
    <t>Hola @Albert_Rivera si yo soy un golpista tú eres un fascista... RT @superwomanroja: Hola @Albert_Rivera, yo soy madrileña y también estoy a favor del derecho de autodeterminación. Es más, no hay democracia sin ese derecho. No es defender la independencia, es defender la democracia. Lo entiende cualquier demócrata pero tú no eres demócrata, tú eres un fascista.</t>
  </si>
  <si>
    <t>https://twitter.com/superwomanroja/status/1064859912302444544</t>
  </si>
  <si>
    <t>Debajo de mi escritorio.</t>
  </si>
  <si>
    <t>pic.twitter.com/yXgG5C2So5</t>
  </si>
  <si>
    <t>Jovencita confusa / paralepípedo. Con cambios de humor. Estudiando en ENTI y trabajando al mismo tiempo porque pensé que sería buena idea. L[G]BT</t>
  </si>
  <si>
    <t>jose carlos lorenzo</t>
  </si>
  <si>
    <t>El presidente de Ciudadanos, Albert Rivera, ha asegurado que el presidente del Gobierno, Pedro...</t>
  </si>
  <si>
    <t>https://okdiario.com/espana/2018/11/22/rivera-afea-sanchez-no-reunirse-opositores-cubanos-no-puedes-defender-derechos-humanos-si-no-escuchas-otra-parte-3379439#.W_aP1DFjNCc.facebook</t>
  </si>
  <si>
    <t>Elsa Ort</t>
  </si>
  <si>
    <t>No es no, @Albert_Rivera. Sánchez dixit. RT @Albert_Rivera: Presentamos una propuesta en el @Congreso_Es para impedir que se indulte a quienes intentaron destruir la democracia española... Y esta es la respuesta del PSOE de Sánchez 🎥👇🏻</t>
  </si>
  <si>
    <t>https://twitter.com/albert_rivera/status/1065007691972567041</t>
  </si>
  <si>
    <t>pic.twitter.com/5aJO664TQm</t>
  </si>
  <si>
    <t>Es verdad, eres un trilero político @Albert_Rivera. Lerroux estaría orgulloso de ti. RT @eldiarioes: Rivera evita catalogar a Vox como un partido de extremaderecha: "No soy analista político"</t>
  </si>
  <si>
    <t>Siempre pensando en lo mismo...</t>
  </si>
  <si>
    <t>Mientras Ana Pastor expulsa a Gabriel Rufián del hemiciclo, @pablocasado_ no obliga a dimitir a @Ignacos, ni @Albert_Rivera a @CarinaMejias por mentir en su currículum. Por situarnos y tal.</t>
  </si>
  <si>
    <t>Nieves B Jiménez</t>
  </si>
  <si>
    <t>Albert Rivera on fire en el Congreso. Critica a Ana Pastor, "hacer equidistancia entre los que defendemos la democracia" y los que "han dado un golpe de estado". Respecto a Pedro Sánchez: "Una cosa es no tener límites y otra cosa es no tener moral".</t>
  </si>
  <si>
    <t>MAD/MU</t>
  </si>
  <si>
    <t>Periodista | Columnista en La Verdad y La Gaceta | Líbero | Jot Down | esRadio Cultura | Elle Comunicación M.</t>
  </si>
  <si>
    <t>https://www.jotdown.es/2018/02/murcia-una-escena-teatral-con-denominacion-de-origen/</t>
  </si>
  <si>
    <t>Paco M 🇪🇸</t>
  </si>
  <si>
    <t>La Generalitat reconoce que nunca ha tenido la intención de cambiar su modelo lingüístico en las aulas. Suspensión de la autonomía por rebeldía manifiesta. #eleccioesya @Santi_ABASCAL @rosadiezglez @pablocasado_ @Albert_Rivera  vía @abc_es</t>
  </si>
  <si>
    <t>https://www.abc.es/sociedad/abci-generalitat-reconoce-nunca-tenido-intencion-cambiar-modelo-linguistico-aulas-201811210253_noticia.html</t>
  </si>
  <si>
    <t>#EleccionesYa Una educación instrumentalizada politica e ideológicamente y en manos de los nacionalistas, es la causa última de los males de España.</t>
  </si>
  <si>
    <t>http://www.profesoresenaccion.com/?p=553</t>
  </si>
  <si>
    <t>Jorge Diaz</t>
  </si>
  <si>
    <t>planeta diminuto</t>
  </si>
  <si>
    <t>el gato de Schrödinger</t>
  </si>
  <si>
    <t>PSOE Huércal-Overa</t>
  </si>
  <si>
    <t>Dice @Albert_Rivera en @HoyPorHoy de @PepaBueno que en #Andalucía no pueden permitirse 40 años de @psoedeandalucia. Habría que decirle que es el pueblo soberano en democracia quien vota a sus representantes y que en #Andalucía los andaluces votan @psoedeandalucia.</t>
  </si>
  <si>
    <t>Huércal-Overa</t>
  </si>
  <si>
    <t>Agrupación Local del PSOE en Huércal-Overa (Almería). Éste es un espacio abierto al diálogo y a la noble confrontación de ideas.</t>
  </si>
  <si>
    <t>laSexta Noticias</t>
  </si>
  <si>
    <t>http://atres.red/0ovvg1</t>
  </si>
  <si>
    <t>Cs Terrassa</t>
  </si>
  <si>
    <t>🎙️ El presidente de @CiudadanosCs @Albert_Rivera ha manifestado que "lo único bueno que Sánchez puede hacer en lo que queda de legislatura es el decreto de convocatoria de elecciones"</t>
  </si>
  <si>
    <t>El twitter de laSexta | Noticias. Te contamos todo lo que ocurre en el momento que ocurre.</t>
  </si>
  <si>
    <t>http://www.lasexta.com/noticias/</t>
  </si>
  <si>
    <t>https://www.ciudadanos-cs.org/prensa/rivera-lo-unico-bueno-que-sanchez-puede-hacer-en-lo-que-queda-de-legislatura-es-el-decreto-de-convocatoria-de-elecciones/11083</t>
  </si>
  <si>
    <t>https://pbs.twimg.com/media/Dsg6Cm1XgAA0GZI.jpg</t>
  </si>
  <si>
    <t>#Terrassa #UnitsperTerrassa</t>
  </si>
  <si>
    <t>Twitter oficial de la agrupación de Ciutadans (C´s) Terrassa. terrassa@ciudadanos-cs.org</t>
  </si>
  <si>
    <t>http://terrassa.ciudadanos-cs.org/</t>
  </si>
  <si>
    <t>José Marcos</t>
  </si>
  <si>
    <t>No entiendo la resistencia de @Albert_Rivera para no referirse a @vox_es como un partido de extrema derecha. ¿Así pretende atraer @CiudadanosCs a votantes tradicionales del @PSOE como llevan vendiendo semanas? RT @La_SER: Albert Rivera evita calificar a Vox como un partido de ultraderecha La entrevista completa del líder de @CiudadanosCs en @HoyPorHoy con @PepaBueno →</t>
  </si>
  <si>
    <t>Periodista del diario El País. Nacional. Fogueado y curtido en Deportes y Madrid. jmarcos@elpais.es Instagram: marcosgarciajose</t>
  </si>
  <si>
    <t>http://elpais.com/autor/jose_marcos/a</t>
  </si>
  <si>
    <t>Miquel Casals Planas</t>
  </si>
  <si>
    <t>Al afirmar el #MegalómanoSánchez que ahora hay menos conflictividad en Catalunya es MUY preocupante.O miente, porque sabe la realidad.O no se entera de nada y vive(sigue)en su mundo.Debería solidarizarse con el Sr.Llarena,con la familia de @Albert_Rivera con @Albiol_XG entre otro</t>
  </si>
  <si>
    <t>Maresme</t>
  </si>
  <si>
    <t>Primera novela de una trilogía. "¿QUIÉNES SOMOS?" . Disponible en https://www.amazon.es/%C2%BFQui%C3%A9nes-somos-Miquel-Casals-Planas/dp/8491947876</t>
  </si>
  <si>
    <t>buenppero</t>
  </si>
  <si>
    <t>Esta el congreso hoy a caldo 😂😂😂 @Albert_Rivera @sanchezcastejon @Pablo_Iglesias_</t>
  </si>
  <si>
    <t>D derechas,Pijo, Ideologo, Inspirador del PP, Yo le dije Aznar que se afeitara el Bigote, Bisnieto del Padre del Capitalismo Neoliberal Salvaje. Viva Espana!!!</t>
  </si>
  <si>
    <t>Estiba</t>
  </si>
  <si>
    <t>Albert Rivera es analista político para lo que le sale de la polla</t>
  </si>
  <si>
    <t>Estibador, marxista, catalán y azote de LETs. El motor de la historia es la lucha de clases. Bloqueado el mismo día por Lacalle y por Maestre.</t>
  </si>
  <si>
    <t>Rocío Limón🇪🇸🍊🇪🇸</t>
  </si>
  <si>
    <t>Dedicado a señor Tardá, por el monólogo (yo golpista pues tu fascista) que le dedicó al señor @Albert_Rivera en el Congreso de los diputados</t>
  </si>
  <si>
    <t>https://pbs.twimg.com/media/Dsg4k7rXcAAUefu.jpg</t>
  </si>
  <si>
    <t>ESPAÑA</t>
  </si>
  <si>
    <t>MADRE DE LA MEJOR HIJA DEL MUNDO 😘👧 -NO DM-ANDALUZA VIVIENDO EN CATALUÑA. MI TIERRA ANDALUCÍA 🇪🇸 MI PAÍS ESPAÑA 🇪🇸</t>
  </si>
  <si>
    <t>Como basiliscos se han puesto Tardá y Rufián cuando @Albert_Rivera les ha llamado golpistas... Efectivamente, Rivera ha dado en el clavo.</t>
  </si>
  <si>
    <t>lolacarro</t>
  </si>
  <si>
    <t>Me parece mucho peor lo que acaba de decir Albert Rivera del Presidente del Gobierno: es capaz de cualquier cosa ,no tiene moral,está rompiendo todo degradación moral.....#BroncaCongresoARV</t>
  </si>
  <si>
    <t>.@Albert_Rivera evita catalogar a Vox como un partido de extremaderecha: "No soy analista político"  vía @eldiarioes</t>
  </si>
  <si>
    <t>Superlópez</t>
  </si>
  <si>
    <t>¿Esta es la neutralidad del espacio público que tanto reclaman? @InesArrimadas @Albert_Rivera @CiudadanosCs @CiutadansCs @carrizosacarlos RT @rac1: Un autocar de Ciutadans recorre Madrid en contra de l’indult als independentistes empresonats amb imatges d'Oriol Junqueras rient</t>
  </si>
  <si>
    <t>Fernando Sanchez</t>
  </si>
  <si>
    <t>El gran populista de España ALBERT RIVERA</t>
  </si>
  <si>
    <t>Sant Esteve de les Roures, Catalunya</t>
  </si>
  <si>
    <t>CállateNene</t>
  </si>
  <si>
    <t>Pretende el sr @Albert_Rivera arañar unos votos o realmente se siente afín a la extrema derecha? #ains #RiveraEnLaSer @La_SER</t>
  </si>
  <si>
    <t>Gallego. T’ol rato preguntando... Dudo, luego existo. No entiendo, luego pregunto.</t>
  </si>
  <si>
    <t>Germán Picazo</t>
  </si>
  <si>
    <t>Bueno y que opinan más altas esferas de la política del artículo 13?  || @Pablo_Iglesias_ @sanchezcastejon @pablocasado_ @agarzon @Albert_Rivera @ahorapodemos @PPopular @PSOE @CiudadanosCs @iunida @vox_es #SaveYourInternet</t>
  </si>
  <si>
    <t>https://www.youtube.com/saveyourinternet/?dclid=CNSW9auH5d4CFc_N3godI1MIEw</t>
  </si>
  <si>
    <t>no_pasaran#</t>
  </si>
  <si>
    <t>#BroncaCongresoARV Albert Rivera es el máximo responsable de la crispación. Es una copia del Calvo Sotelo de 1935. Fascista, provocador, lenguaraz y sobre todo una mala persona.</t>
  </si>
  <si>
    <t>Asesino implacable de moscas. Devorador vocacional de alitas de pollo. Conquistador de cosos y caballero a tiempo parcial.</t>
  </si>
  <si>
    <t>http://serbanx.deviantart.com/</t>
  </si>
  <si>
    <t>sevilla</t>
  </si>
  <si>
    <t>Luchador por un estado que sea eso un verdadero estado. Republicano y antifascista</t>
  </si>
  <si>
    <t>SER Comunicación</t>
  </si>
  <si>
    <t>📻El líder de @CiudadanosCs @Albert_Rivera ha sido entrevistado esta mañana por @PepaBueno en @HoyPorHoy de @La_SER Escucha la entrevista aquí 👇</t>
  </si>
  <si>
    <t>Hermann Tertsch</t>
  </si>
  <si>
    <t>Muy bien Albert Rivera que parece tener ya bien claro que Sanchez es tan enemigo de la democracia como lo son los comunistas de Podemos. Son tiempos duros pero están ayudando a muchos a ver las cosas con más claridad.</t>
  </si>
  <si>
    <t>Twitter del equipo de Comunicación. Queremos compartir contigo el trabajo de los que formamos parte del primer Grupo de Radio en España.</t>
  </si>
  <si>
    <t>Periodista, ABC. Siempre razonablemente estupefacto.</t>
  </si>
  <si>
    <t>Elemental se tienen que entender con la ultraderecha @vox_es si quiere gobernar @Albert_Rivera ... Cosa que dudo porque no tienen alternativas... RT @La_SER: Albert Rivera evita calificar a Vox como un partido de ultraderecha La entrevista completa del líder de @CiudadanosCs en @HoyPorHoy con @PepaBueno →</t>
  </si>
  <si>
    <t>coarbe</t>
  </si>
  <si>
    <t>Grande @Albert_Rivera Hay que hablarles claro a estos golpistas. Bravo 🙌🙌</t>
  </si>
  <si>
    <t>Trianera y Sevillista</t>
  </si>
  <si>
    <t>Aunque hay en cosas que en estas últimas semanas no me ha convencido de @JoanTarda, he de reconocer que las palabras dirigidas al desgraciado @Albert_Rivera se las ha ganado después de tanta bilis durante tantísimos años. Eres lo que te ha dicho.</t>
  </si>
  <si>
    <t>https://youtu.be/EdsKYzBU54g</t>
  </si>
  <si>
    <t>Rafael Domingo *!</t>
  </si>
  <si>
    <t>.@Albert_Rivera es muy capaz de analizar políticamente a @Pablo_Iglesias_ o a @sanchezcastejon , pero @PepaBueno no le pidas "ese gran esfuerzo" con @Alternativa_VOX !!!</t>
  </si>
  <si>
    <t>MADRID</t>
  </si>
  <si>
    <t>Cuestionador de todos los actos de los individuos (empezando por mí mismo). Amante del debate de argumentos, y dado a la ironía...con perdón...</t>
  </si>
  <si>
    <t>Բ૨αทjђZ 💍</t>
  </si>
  <si>
    <t>El amigo @Albert_Rivera haciendo lo que mejor sabe hacer en @HoyPorHoy de @La_SER, el "político" en el peor sentido posible, un charlatán de feria que solo dice las cosas que la gente quiere escuchar pero sin sentido alguno una vez más #RiveraEnLaSer</t>
  </si>
  <si>
    <t>Bocas</t>
  </si>
  <si>
    <t>Últimamente, cada vez que escucho un anuncio de securitas direct o de una compañía de estas me imagino detrás a Albert Rivera, Arrimadas, Cazado, El Gandalf de Vox o a Borrell.... Se os va de las manos y luego os esconderéis como lo que sois, cobardes charlatanes! 😤🐓</t>
  </si>
  <si>
    <t>Orihuela, España</t>
  </si>
  <si>
    <t>El rock y la paella como estilo de vida. Nunca me vereis votar al @PPopular ni disimular mi asco eterno al @realmadrid. Culé a tiempo completo en @ebneuo</t>
  </si>
  <si>
    <t>https://m.facebook.com/ebneuo</t>
  </si>
  <si>
    <t>Pongámonos serios y vayámonos a la mierda!</t>
  </si>
  <si>
    <t>Superintendente</t>
  </si>
  <si>
    <t>Mientras la realidad es tozuda @Albert_Rivera se empeñan en amargarse la vida con un hipotético indulto sin aún condena. Lo siguiente será preguntar por la situación del Enterprise y Mr Spok.</t>
  </si>
  <si>
    <t>Josué Coello</t>
  </si>
  <si>
    <t>Dice Albert Rivera que el principal problema de España es la independencia de Cataluña. No sé Albert, dale una vuelta a eso.</t>
  </si>
  <si>
    <t>https://pbs.twimg.com/media/DsmflJCX4AM7rGW.jpg</t>
  </si>
  <si>
    <t>Asturias - Spain</t>
  </si>
  <si>
    <t>Hasta los mismisimos de casi todo. Padre de familia numerosa sobreviviendo entre ineptos incompetentes.</t>
  </si>
  <si>
    <t>Vicente Calderón</t>
  </si>
  <si>
    <t>Bajista de los Kinks, pianista de los Animals y Henry Molise en San Elmo. Aclarado el entuerto, explico la economía en @DebatAlRojoVivo en @LaSextaTV</t>
  </si>
  <si>
    <t>http://sweetoldies.wordpress.com</t>
  </si>
  <si>
    <t>T</t>
  </si>
  <si>
    <t>Que vergüenza la politica de este pais,ahora intentando controlar el poder judicial como en Venezuela..@sanchezcastejon @Albert_Rivera @pablocasado_</t>
  </si>
  <si>
    <t>miguel carmona de ca</t>
  </si>
  <si>
    <t>Inquieta,impaciente,a veces muy rubia y adicta a mi smartphone.De vez en cuando le doy al running!</t>
  </si>
  <si>
    <t>Albert Rivera es de los que para apagar un fuego utilizan gasolina. No puede ser más mediocre. #BroncaCongresoARV</t>
  </si>
  <si>
    <t>Más comentados ahora en Derecha/Centro Dcha.: ➀ @sanchezcastejon ↑ ➁ @Albert_Rivera ↓ ➂ @pepito_garca ↑ ➃ @PSOE ↑ ➄ @GirautaOficial ↑↑ ➅ @PPopular ↓ ➆ @altamiranoMLG ↓ ➇ @currusquita ↑ ➈ @TeoGarciaEgea ↑↑↑</t>
  </si>
  <si>
    <t>Ramon Lozano</t>
  </si>
  <si>
    <t>Albert Rivera dice que el problema más grande de España es el separatismo. Es evidentemente que el paro, pensiones, corrupción, sanidad, educacion, transicion energética... son memeces sin ninguna importancia 👏👏</t>
  </si>
  <si>
    <t>Aragon</t>
  </si>
  <si>
    <t>Proyecto de filologo. Sócio treballador en @AFlamatabierna e militant de @purna_aragon</t>
  </si>
  <si>
    <t>http://arainfo.org</t>
  </si>
  <si>
    <t>MNieves Ramirez</t>
  </si>
  <si>
    <t>En la entrevista de @HoyPorHoy con @PepaBueno el señor @Albert_Rivera que va dando lecciones de democracia parece que no le gusta que los andaluces elijan libre, voluntaria y democráticamente tener un gobierno socialista en su CCAA @psoedeandalucia</t>
  </si>
  <si>
    <t>Para el broncas de Albert Rivera el mayor problema q tiene España es el separatismo en Cataluña, ese es todo su argumento #BroncaCongresoARV</t>
  </si>
  <si>
    <t>Torrox, mejor clima de Europa</t>
  </si>
  <si>
    <t>Trabajadora Social. Orgullosa torroxeña, feminista y socialista.</t>
  </si>
  <si>
    <t>Más influyentes ahora en Derecha/Centro Dcha.: ➀ @Albert_Rivera ↓ ➁ @pepito_garca ↑ ➂ @GirautaOficial ↑↑ ➃ @altamiranoMLG ↓ ➄ @Nanchinho ↑ ➅ @CCivicaCatalana ↑ ➆ @currusquita ↑ ➇ @ldpsincomplejos ↑ ➈ @MariaTabarnia ↓</t>
  </si>
  <si>
    <t>"Sánchez lo está rompiendo todo". Albert Rivera</t>
  </si>
  <si>
    <t>Miguel de la Rosa 🦉</t>
  </si>
  <si>
    <t>.@Albert_Rivera "EL PSOE está podemizado" @PepaBueno ¿Es VOX te extrema derecha? Rivera: No soy yo quien tiene que poner etiquetas, sino ustedes Y así todo</t>
  </si>
  <si>
    <t>Alhaurín el Grande</t>
  </si>
  <si>
    <t>Militante @psoedeandalucia🌹. #AlhaurinElGrande 💚⚪️💜. Aquí me represento a mi mismo. Aficionado del @fcbarcelona. #Amotu</t>
  </si>
  <si>
    <t>http://www.delarosalopez.es</t>
  </si>
  <si>
    <t>Y el cinismo terrible de @Albert_Rivera en @HoyPorHoy. Dice que no apoyarán a @susanadiaz porque 40 años de socialismo es demasiado. Se ve que hace 4 años, 36 años de socialismo no eran demasiados. Quizá sea esto eso que llaman “crisis de los 40”. O tener la cara muy dura...</t>
  </si>
  <si>
    <t>Albert Rivera: "El problema más grande que tiene España son los separatistas" ¿Y la crisis qué, se come?</t>
  </si>
  <si>
    <t>Mi casa</t>
  </si>
  <si>
    <t>http://instagram.com/doriveramirez</t>
  </si>
  <si>
    <t>El Sugus Azul</t>
  </si>
  <si>
    <t>Albert Rivera se acaba de negar a llamar a @vox_es extrema derecha... Si, Ciudadanos es muy de centro... @La_SER @Albert_Rivera</t>
  </si>
  <si>
    <t>Ramon Parés||*||</t>
  </si>
  <si>
    <t>Cádiz</t>
  </si>
  <si>
    <t>Hombre de principios. Amante de Cádiz, el Carnaval, los Libros, los Videojuegos, las Series la Musica el Deporte y sobre todo de mi mismo</t>
  </si>
  <si>
    <t>Vic ||*||</t>
  </si>
  <si>
    <t>Sergio Álvarez🐻🌈</t>
  </si>
  <si>
    <t>Para @Albert_Rivera y @CiudadanosCs solo existe el tema #Cataluña todos los demás problemas no les importan.</t>
  </si>
  <si>
    <t>Sariego Asturias</t>
  </si>
  <si>
    <t>Socialista, Internacionalista, Asturiano, Iberista, Europeo, Republicano, Pesimista Incorregible, Guerrista y Guerrero</t>
  </si>
  <si>
    <t>http://saladinu.blogspot.com</t>
  </si>
  <si>
    <t>Sophie de Edoras</t>
  </si>
  <si>
    <t>Ay qué mal la está pasando @Albert_Rivera en @HoyPorHoy entre no querer llamar por su nombre a @vox_es y su enfado por qué Sánchez no le da bola.</t>
  </si>
  <si>
    <t>JavierPink</t>
  </si>
  <si>
    <t>Cuando C's Ciudadanos tachaba de "espectáculo" el fletar autobuses políticos</t>
  </si>
  <si>
    <t>Porteña y luego, argentina. Historiadora medieval. Cuando me vine a vivir a España, me di cuenta que soy un estereotipo.</t>
  </si>
  <si>
    <t>Castilla y León, España</t>
  </si>
  <si>
    <t>Diseño audiovisual para redes sociales. Manejo de adobe After effects y premier pro.</t>
  </si>
  <si>
    <t>🎥Así ha sido la Intervención de @Albert_Rivera contra el indulto a los golpistas. 🥀El Sanchismo ha enterrado al @PSOE ha cambio de un puñado de escaños separatistas. #STOPIndultos ⤵️</t>
  </si>
  <si>
    <t>https://www.youtube.com/watch?v=Vvvq1GenBy4</t>
  </si>
  <si>
    <t>Hoy por hoy</t>
  </si>
  <si>
    <t>DIRECTO @Albert_Rivera sobre su relación con @sanchezcastejon: "Ha quemado todos los puentes"</t>
  </si>
  <si>
    <t>La Vanguardia</t>
  </si>
  <si>
    <t>Acusa a los socialistas de minimizar el “escupitajo” denunciado por Borrell</t>
  </si>
  <si>
    <t>http://cadenaser.com/programa/2018/11/20/hoy_por_hoy/1542712340_800654.html?ssm=tw-hxh</t>
  </si>
  <si>
    <t>https://pbs.twimg.com/media/Dsgta7VVYAApy0L.jpg</t>
  </si>
  <si>
    <t>https://www.lavanguardia.com/politica/20181122/453091407207/albert-rivera-acusa-psoe-minimizar-independentistas-escupen-espana.html?utm_source=twitter_lv&amp;utm_medium=social</t>
  </si>
  <si>
    <t>Cadena SER</t>
  </si>
  <si>
    <t>El programa líder de la radio española. De lunes a viernes, de 6:00 a 12:20h, en @La_SER. Dirigido por @PepaBueno y Toni @GarridoCoronado.</t>
  </si>
  <si>
    <t>http://www.hoyporhoy.es</t>
  </si>
  <si>
    <t>Twitter oficial de 'La Vanguardia' Información al minuto nacional e internacional</t>
  </si>
  <si>
    <t>http://www.LaVanguardia.com</t>
  </si>
  <si>
    <t>En @HoyPorHoy el populista hispánico @Albert_Rivera afirma que es manipular la justicia nombrando a un senador del PP miembro del CGPJ En cambio oculta que Ollero ex diputado PP es juez del T Constitucional, que esto si que es manipular Queda claro su nivel</t>
  </si>
  <si>
    <t>En su entrevista en @HoyPorHoy de @La_SER, @Albert_Rivera, presidente de @CiudadanosCs, aboga por la independencia del Poder Judicial. #PolíticaÚtilCs #FelizMiercoles RT @HoyPorHoy: DIRECTO @Albert_Rivera sobre la renuncia de Marchena a presidir el @poderjudicial "La política tiene que quitar sus zarpas de la justicia"</t>
  </si>
  <si>
    <t>https://twitter.com/HoyPorHoy/status/1065148699012038657
http://cadenaser.com/programa/2018/11/20/hoy_por_hoy/1542712340_800654.html?ssm=tw-hxh</t>
  </si>
  <si>
    <t>Iñaki Pardo Torregrosa</t>
  </si>
  <si>
    <t>https://pbs.twimg.com/media/DsgrFzSUcAAyf_i.jpg</t>
  </si>
  <si>
    <t>Os lo resumo: Albert Rivera, que no estaba en el Congreso este miércoles, acusa al PSOE de "minimizar el escupitajo a Borrell" y de pactar con los que "escupen a España". Le preguntan si hubo escupitajo y dice que no lo sabe porque "no es el VAR"</t>
  </si>
  <si>
    <t>Sabadell - Barcelona</t>
  </si>
  <si>
    <t>Periodista. De lo posible se sabe demasiado.</t>
  </si>
  <si>
    <t>El "ultracentrista" de @Albert_Rivera se niega a definir a @vox_es como un partido de extrema derecha... es difícil ver a la extrema derecha cuando estas en ella</t>
  </si>
  <si>
    <t>Valesia</t>
  </si>
  <si>
    <t>Albert Rivera: "Con lo de ayer se ha escupido a España" . El líder de Ciudadanos critica que Sánchez haya minimizado lo ocurrido este martes en el Congreso y que "no rompa" con los separatistas.  vía @elespanolcom</t>
  </si>
  <si>
    <t>Encuentro la televisión muy educativa. Cada vez que alguien la enciende, me retiro a otra habitación y leo un libro</t>
  </si>
  <si>
    <t>Lerchán 🔻🎗️</t>
  </si>
  <si>
    <t>Vaya rídiculo de @Albert_Rivera en el programa de Pepa Bueno en @La_SER. Como se nota que no está acostumbrado a entrevistas que no sean hechas por amiguetes.</t>
  </si>
  <si>
    <t xml:space="preserve">República Galega </t>
  </si>
  <si>
    <t>En Marea me Marea!</t>
  </si>
  <si>
    <t>David Bollero</t>
  </si>
  <si>
    <t>#RiveraenlaSER. @Albert_Rivera, tras se preguntado y repreguntado por @PepaBueno, evita decir si cree que #Vox es o no #extremaderecha. Dice que no es analista político... luego sí opina sobre sentencias judiciales, otras decisiones políticas, Catalunya...</t>
  </si>
  <si>
    <t>Periodista... para bien y para mal. Ahora también en Librería La Mínima (@LaMinimaLibros) y EntreLíneas (@Entrelineasfest)</t>
  </si>
  <si>
    <t>http://pososdeanarquia.com</t>
  </si>
  <si>
    <t>Lorens</t>
  </si>
  <si>
    <t>Yo cada vez que veo en televisión a Albert Rivera o Inés Arrimadas o les leo por Twitter:</t>
  </si>
  <si>
    <t>https://pbs.twimg.com/media/DsmWGaUXoAAwJl8.jpg</t>
  </si>
  <si>
    <t>MAG</t>
  </si>
  <si>
    <t>"Podemos no me gusta lo que dice, de Vox ALGUNAS cosas no me gusta lo que dice". @Albert_Rivera en @HoyPorHoy.</t>
  </si>
  <si>
    <t>🙈🙉🙊</t>
  </si>
  <si>
    <t>Madrid - ✈️</t>
  </si>
  <si>
    <t>Utilizo la coma del vocativo, distingo entre "deber..." y "deber de..." y digo motu proprio. Sneakers, fabrics and planes.</t>
  </si>
  <si>
    <t>http://Instagram.com/m_a_guisado</t>
  </si>
  <si>
    <t>hadoque</t>
  </si>
  <si>
    <t>RTVE, donde vive Albert Rivera @rne @La1_tve #UnaAlDía</t>
  </si>
  <si>
    <t>Mario Pais</t>
  </si>
  <si>
    <t>- ¿En el marco de la extrema izquierda a la extrema derecha dónde situaría a VOX? - Yo no soy analista político. @Albert_Rivera en @La_SER</t>
  </si>
  <si>
    <t>Siempre hay circunstancias que reestructuran el timing. Alphonso</t>
  </si>
  <si>
    <t>lopezbarrancojavier</t>
  </si>
  <si>
    <t>ES MUY EVIDENTE SU CATADURA FACISTA Albert Rivera lleva años hablando de “separatistas, bolivarianos y proetarras” pero le piden que defina a Vox y no lo hace porque “no es analista político”. Es que te tienes que reír.</t>
  </si>
  <si>
    <t>Noia/Pontevedra</t>
  </si>
  <si>
    <t>Politólogo e xornalista. Comunicación Política e Institucional. Colaborador necesario.</t>
  </si>
  <si>
    <t>Alfredo Benito</t>
  </si>
  <si>
    <t>Vergonzoso y revelador que @Albert_Rivera no quiera definir ideológicamente en @HoyPorHoy a Vox. A la pregunta clara de si es un partido de extrema derecha...silba. Pregúntate por qué...Miedito.</t>
  </si>
  <si>
    <t>Murcia/Madrid, España</t>
  </si>
  <si>
    <t>Periodista y CEO de Englishcafe Murcia. Más vale equivocarse en la esperanza que acertar en la desesperación Amin Maalouf. Instagram: ferdymurcia</t>
  </si>
  <si>
    <t>🌹Consuelo G. ☀️😎</t>
  </si>
  <si>
    <t>Sonia Rivero</t>
  </si>
  <si>
    <t>Imposible que @Albert_Rivera posicione a Vox 🤮 en el arco parlamentario, no sabe si es de un lado o de otro “eso se lo dejo a uds.” le dice una y otra vez a @PepaBueno en @HoyPorHoy</t>
  </si>
  <si>
    <t>Me desconcierta, y mucho: por la mañana un rifirrafe con ERC, por la tarde vota con ERC en el Senado para espiar a los españoles, y hoy, vuelve a la carga contra ERC ¿¡¡???🤯🤯🤯🤯</t>
  </si>
  <si>
    <t>Alcorcón, Comunidad de Madrid</t>
  </si>
  <si>
    <t>Los sueños son sumamente importantes, nada se hace sin que antes se imagine</t>
  </si>
  <si>
    <t>http://Instagram.com/consu_gf</t>
  </si>
  <si>
    <t>Juan Carlos Espinosa</t>
  </si>
  <si>
    <t>.@PepaBueno le dio tres oportunidades a @Albert_Rivera para contestar en @HoyPorHoy si Vox es o no de extrema derecha. Las tres se fue por la tangente. Su silencio concede a la especulación.</t>
  </si>
  <si>
    <t>Periodista mexicano. Actualmente en la Escuela de Periodismo UAM-El País. Antes en @EnfoqueNoticias</t>
  </si>
  <si>
    <t>http://www.enfoquenoticias.com.mx</t>
  </si>
  <si>
    <t>GenesR</t>
  </si>
  <si>
    <t>#HemicircoAR Josep Borrell en ocasiones ve escupitajos Albert Rivera en ocasiones ve piedras Y la prensa,sin imágenes ha visto las dos cosas. Éstos tienen mejor vista que un águila con rayos X</t>
  </si>
  <si>
    <t>Claudia Ortega</t>
  </si>
  <si>
    <t>"De Podemos no me gusta lo que dicen y de Vox hay algunas cosas que tampoco". Aquí @Albert_Rivera en @HoyPorHoy evitando llamar fascistas a los fascistas. ¿Este miedo repentino a tener entre tu electorado a potenciales votantes de VOX?</t>
  </si>
  <si>
    <t>Si veis un tuit malo en mi perfil,ha sido por el autocorrector. Si veis uno bueno...ni idea,yo no he sido.</t>
  </si>
  <si>
    <t>EL PAÍS España</t>
  </si>
  <si>
    <t>Valencia - Alicante</t>
  </si>
  <si>
    <t>Albert Rivera nació en Barcelona, como es sabido, pero reúne ocho apellidos andaluces, cuatro abuelos malagueños y una madre que nació en el serrano municipio de Cútar  por @Ruben_Amon</t>
  </si>
  <si>
    <t>Periodista en @RadioAlicante. Antes, aprendí y disfruté en @Hora25 y @RadioValencia. Máster en Comunicación Política #Compol.</t>
  </si>
  <si>
    <t>http://ow.ly/KYnh30mIbvL</t>
  </si>
  <si>
    <t>Que dice @Albert_Rivera en @La_SER que prefiere gobernar en Andalucía con el Partido Popular que está condenado por corrupción, con 1000 imputados, que usa la policía y los jueces contra sus adversarios políticos, antes de llegar a ningún acuerdo con Podemos.. #FelizMiercoles</t>
  </si>
  <si>
    <t>Únete a la conversación sobre los grandes temas políticos y ciudadanos. Por la Redacción de España de EL PAÍS</t>
  </si>
  <si>
    <t>http://politica.elpais.com/</t>
  </si>
  <si>
    <t>Arquímedes de Siracusa.</t>
  </si>
  <si>
    <t>Antonio García Trevijano a CS, UPyD y VOX Albert Rivera, Rosa Díez y Santiago Abascal ➡️ LibertadPolíticaColectiva, 🔗 LIBERTAD EXISTENCIAL,</t>
  </si>
  <si>
    <t>https://goo.gl/U6tWs2?cdj42=5255643909</t>
  </si>
  <si>
    <t>DIRECTO @Albert_Rivera explica qué ha cambiado para que @Ciudadanos asegura que no volverá a apoyar un gobierno de Susana Díaz en Andalucía</t>
  </si>
  <si>
    <t>Soy físico, ingeniero, inventor, astrónomo y matemático. Se conocen pocos detalles de mi vida, pero estoy considerado uno de los científicos más importantes.</t>
  </si>
  <si>
    <t>https://pbs.twimg.com/media/DsgsYiZUwAE_sgx.jpg</t>
  </si>
  <si>
    <t>DIRECTO "Delgado y Cosidó tienen que dimitir". @Albert_Rivera pide la renuncia de la ministra de Justicia y del portavoz del PP en el Senado.</t>
  </si>
  <si>
    <t>https://pbs.twimg.com/media/DsgsL-dU4AAGP1o.jpg</t>
  </si>
  <si>
    <t>El Español</t>
  </si>
  <si>
    <t>Albert Rivera: "Con lo de ayer se ha escupido a España"</t>
  </si>
  <si>
    <t>Paco Espinosa</t>
  </si>
  <si>
    <t>Según el pimpollo @Albert_Rivera los errores de la elección del CGPJ del PP-PSOE debe llevar a una elección endogámica de los jueces. No cree en la soberanía y representación popular. ¡Así nos va! @HoyPorHoy @LasMananas_rne</t>
  </si>
  <si>
    <t>Seleccionamos las mejores historias. Síguenos también en @podium_ee, @cultura_ee, @ciencia_ee, @jaleos_ee, @empresas_ee, @hola_elespanol y @elespanolMARCAS</t>
  </si>
  <si>
    <t>https://www.elespanol.com/</t>
  </si>
  <si>
    <t>Progresista y defensor de la máxima: Lo importante en la vida no es hacer lo que uno quiere, sino querer lo que uno hace.</t>
  </si>
  <si>
    <t>Jaime Galisteo Gámez</t>
  </si>
  <si>
    <t>Golpista es lo único que sabe decir últimamente.</t>
  </si>
  <si>
    <t>MarioSL</t>
  </si>
  <si>
    <t>Algo que decir? @CiudadanosCs @PPopular @pablocasado_ @Albert_Rivera RT @eldiarioes: VÍDEO | Gritos de "Franco, Franco" y el 'Cara al Sol' a la salida de la misa a la memoria del dictador en el centro de Madrid  Informa @gallaup</t>
  </si>
  <si>
    <t>https://twitter.com/eldiarioes/status/1064978634916749313
https://www.eldiario.es/sociedad/Cantos-cara-sol_0_837817322.html</t>
  </si>
  <si>
    <t>pic.twitter.com/EVSl1tBjbm</t>
  </si>
  <si>
    <t>Aquí. Mañana...quizás también</t>
  </si>
  <si>
    <t>Corredor de fondo...antes con mis zapatillas, ahora con libros y apuntes</t>
  </si>
  <si>
    <t>Gané un concurso de dibujo con 10 años y me compré un videojuego</t>
  </si>
  <si>
    <t>https://plus.google.com/+JaiminhoPimpampum</t>
  </si>
  <si>
    <t>DIRECTO @Albert_Rivera sobre la renuncia de Marchena a presidir el @poderjudicial "La política tiene que quitar sus zarpas de la justicia"</t>
  </si>
  <si>
    <t>Laura</t>
  </si>
  <si>
    <t>"los espacios públicos de Ciudadanos" la magia de la sintaxis destapa los sueños húmedos de Albert Rivera RT @Albert_Rivera: El PSC-PSOE vota en el Parlament con los separatistas para admitir la invasión de lazos amarillos, tumbando así la ley de neutralidad en los espacios públicos de Ciudadanos. No tienen remedio.</t>
  </si>
  <si>
    <t>Comunque</t>
  </si>
  <si>
    <t>Pastor de cabras</t>
  </si>
  <si>
    <t>No me extraña. Todo eso es escandaloso @Albert_Rivera RT @JuecesAPMCAT: Ante las circunstancias que han rodeado el proceso de renovación del Consejo General del Poder Judicial, Luis Rodríguez Vega, candidato presentado por APM Cataluña, ha decidido retirar su candidatura con el apoyo de esta sección.</t>
  </si>
  <si>
    <t>https://twitter.com/JuecesAPMCAT/status/1065143427329859585</t>
  </si>
  <si>
    <t>https://pbs.twimg.com/media/DsgmTGAX4AAYMKr.jpg</t>
  </si>
  <si>
    <t>Siempre tiro al monte.</t>
  </si>
  <si>
    <t>Pastor-conductor de todo tipo de ganado. Muy atento a todo lo que pasa a mi alrededor. Transitando por un cordel, tuiteo.</t>
  </si>
  <si>
    <t>☀️☕️ ¡Buenos días! 📻 En breve estará @Albert_Rivera en una entrevista en @HoyPorHoy hablando sobre la actualidad política. 📲 ¡Pincha aquí para escucharlo #EnDirecto !</t>
  </si>
  <si>
    <t>http://play.cadenaser.com/</t>
  </si>
  <si>
    <t>https://pbs.twimg.com/media/Dsgqf6uXcAA8y-u.jpg</t>
  </si>
  <si>
    <t>Íñigo López-Araquistáin</t>
  </si>
  <si>
    <t>🔴Dice Albert Rivera que Logroño y La Rioja no se merecen el AVE (que él sí que utiliza a diario). 🔵Los riojanos y logroñeses hablaremos en las urnas... @LaRiojaPP @pplogrono</t>
  </si>
  <si>
    <t>DIRECTO Ya en el estudio @Albert_Rivera listo para la entrevista. Síguela en directo en vídeo en</t>
  </si>
  <si>
    <t>https://pbs.twimg.com/media/Dsgpf7hW0AAHcJq.jpg</t>
  </si>
  <si>
    <t>Logroño, La Rioja, España</t>
  </si>
  <si>
    <t>👷Arquitecto n°961 del @COARioja Autonómo💚Secretario General de @nngglarioja y Secretario de área de Cultura y Vivienda en @NNGG_es 💙 @PPopular 🗽 Liberal🇪🇸</t>
  </si>
  <si>
    <t>🔴 VÍDEO | Pepa Bueno entrevista a Albert Rivera (@Albert_Rivera), presidente de @CiudadanosCs</t>
  </si>
  <si>
    <t>http://cadenaser.com/programa/2018/11/20/hoy_por_hoy/1542712340_800654.html?autoplay=1</t>
  </si>
  <si>
    <t>Cuenta con la SER. Pase lo que pase.</t>
  </si>
  <si>
    <t>http://cadenaser.com/</t>
  </si>
  <si>
    <t>NO me Digas</t>
  </si>
  <si>
    <t>¿ Sabiais que por una norma de la Casta de corruptos ningun politico pueden someterle hacer control anti drogas ? La cocaina es el desayuno de muchos corruptos ¿ Verdad @Albert_Rivera ?😎</t>
  </si>
  <si>
    <t>Pilar Conver</t>
  </si>
  <si>
    <t>Cada día que pasa lo aprovecháis para caer más bajos @InesArrimadas @Albert_Rivera . Que forma tan sucia de engañar a la #buenagenteandaluza mintiendo asquerosamente sobre mi tierra! Espero que lo del karma sea cierto!</t>
  </si>
  <si>
    <t>CATALUNYA MON AMOUR!</t>
  </si>
  <si>
    <t>Dr. 🖖</t>
  </si>
  <si>
    <t>Joder, os habéis superado @Albert_Rivera, no se veía tanto payaso desfilando por Madrid desde las colas por ver al dictador muerto. RT @rac1: Un autocar de Ciutadans recorre Madrid en contra de l’indult als independentistes empresonats amb imatges d'Oriol Junqueras rient</t>
  </si>
  <si>
    <t>CataluNYa</t>
  </si>
  <si>
    <t>Doctorado en RRSS por la Universidad de Miskatonic - Máster en Twitter por la @urjc | #NiOblitNiPerdó #RCDE #antifascista #NOindependentista</t>
  </si>
  <si>
    <t>Pedro Toribios Pérez</t>
  </si>
  <si>
    <t>Se ha pasado 3 pueblos con esa afirmación, ¡y Vd. lo sabe @Albert_Rivera !. Igualmente se ha pasado varios pueblos @JoanTarda llamándole fascista. Estas afirmaciones falsas, solo consiguen dar más alas a las extremas izquierda y derecha. ¡Piensen y no se conviertan en hooligan! RT @Albert_Rivera: 🏛 PSOE, Podemos y separatistas tumban nuestra iniciativa para impedir que se indulte a los golpistas del procés en caso de que sean condenados. Esto es un antes y un después: el PSOE ha abandonado definitivamente el constitucionalismo. #STOPIndultos</t>
  </si>
  <si>
    <t>https://twitter.com/Albert_Rivera/status/1064968720790011905</t>
  </si>
  <si>
    <t>https://pbs.twimg.com/media/Dsd13jTVYAAsuW9.jpg</t>
  </si>
  <si>
    <t>¡Respeto y libertad! ¡No quieras para los demás lo que no quieras para ti!</t>
  </si>
  <si>
    <t>http://pedrotoribios.blogspot.com.es/</t>
  </si>
  <si>
    <t>Más comentados ahora en Derecha/Centro Dcha.: ➀ @Albert_Rivera ↑↑ ➁ @sanchezcastejon ↑↑ ➂ @altamiranoMLG ↑↑ ➃ @pepito_garca ↑↑ ➄ @Nanchinho ↑↑ ➅ @CiudadanosCs ↓ ➆ @gabrielrufian ↓ ➇ @CCivicaCatalana ↓ ➈ @currusquita ↓</t>
  </si>
  <si>
    <t>🏴‍☠️ AnnabeLee</t>
  </si>
  <si>
    <t>enfadarse y montar el pollo cuando albert rivera y la loca histerica del pp se dedican a insultar, bramar y acusar a erc+pdcat d todo tipo d barbaridades q se inventan es mal. El bloc d l'odi pp+c's hacen electoralismo cuando les enfocan las camaras, pero si lo hace rufián mal tb</t>
  </si>
  <si>
    <t>Activismo en la intergñee since 1996, kanya_bcn en los foros autonomias d terra, los fachas impotentes me llamaban kañeria pestilente, un honor</t>
  </si>
  <si>
    <t>Miriam Ruiz Castro</t>
  </si>
  <si>
    <t>Albert Rivera en junio de 2017 sobre el Tramabús de Podemos: "Rajoy está encantado de que le monten autobuses con pegatinas porque ni le roza"  Albert Rivera ahora 👇RT @Albert_Rivera: Indultos no, #EleccionesYa .</t>
  </si>
  <si>
    <t>Más influyentes ahora en Derecha/Centro Dcha.: ➀ @Albert_Rivera ↑↑ ➁ @altamiranoMLG ↑↑ ➂ @pepito_garca ↑↑ ➃ @Nanchinho ↑↑ ➄ @CCivicaCatalana ↓ ➅ @CiudadanosCs ↑↑↑ ➆ @currusquita ↓ ➇ @Santi_ABASCAL ↓ ➈ @ldpsincomplejos ↓</t>
  </si>
  <si>
    <t>https://www.lasexta.com/programas/al-rojo-vivo/entrevistas/albert-rivera-pablo-iglesias-no-es-la-alternativa-a-mariano-rajoy_2017061559426ae30cf26e79abaf451f.html
https://twitter.com/Albert_Rivera/status/1064931881949511681
https://www.elespanol.com/espana/politica/20181120/ciudadanos-saca-tramabus-sanchez-indultos-no-elecciones/354715424_0.html</t>
  </si>
  <si>
    <t>Periodista. En @ObjetivoLaSexta (@newtral). También junto letras en @elperiodico. Contar para hacer que cuente. 📧Miriamruiz33@gmail.com</t>
  </si>
  <si>
    <t>https://es.linkedin.com/in/mruizcastro</t>
  </si>
  <si>
    <t>María Sierra Molina</t>
  </si>
  <si>
    <t>Los políticos mediocres como @pablocasado_ o @Albert_Rivera tienen que recurrir al insulto a Andalucía para tener algo de protagonismo ¡Son tan patéticos!</t>
  </si>
  <si>
    <t>Andaluza universal y arraigada en Cataluña. Mi patria es el mundo y no reconozco más fronteras que las del corazón y la razón.</t>
  </si>
  <si>
    <t>http://ortanchiviris.over-blog.com</t>
  </si>
  <si>
    <t>Cs adoctrina a los madrileños con un autocar antiindultos  sr @CiudadanosCs @Albert_Rivera sra @InesArrimadas no se puede indultar a aquellos que no han cometido delitos, ni hablar de indultos sobre personas que no tienen condena firme #tatarlak</t>
  </si>
  <si>
    <t>http://ow.ly/7eJm30mHf2f</t>
  </si>
  <si>
    <t>República Catalana🎗💛💛💛 Gavà</t>
  </si>
  <si>
    <t>Los de @CiudadanosCs y @Albert_Rivera a la cabeza sois unos fascistas incitadores al odio Pero tranquilos que el kharma no perdona #LlibertatPresosPolitics</t>
  </si>
  <si>
    <t>https://www.rac1.cat/info-rac1/20181120/453073235347/autocar-campanya-ciutadans-oriol-junqueras-carles-puigdemont.html</t>
  </si>
  <si>
    <t xml:space="preserve"> República de Catalunya</t>
  </si>
  <si>
    <t>Això no s'aguanta ni un minut més!!! Marxem!!! #AdéuEspanya #RepúblicaCatalana gava #EspanyaNoEnsEstima #LlibertatPresosPolítics</t>
  </si>
  <si>
    <t>Daniel_Fabero 🎗️</t>
  </si>
  <si>
    <t>Pues si, yo también llamo fascista a @Albert_Rivera #AutoDefensa</t>
  </si>
  <si>
    <t>Ana María</t>
  </si>
  <si>
    <t>Catalan Republic</t>
  </si>
  <si>
    <t>Que da claro lo qué es no? Y este iba a ser socio de uleg? Cuando Albert Rivera sí pone etiquetas: extrema izquierda, populistas, bolivarianos, chavistas y golpistas  vía @eldiarioes</t>
  </si>
  <si>
    <t>Català nascut a Madrid. Biker. Donde el ciclismo me lleve. Enamorado de las montañas. Amante de la cocina. Con un poco de mala leche.</t>
  </si>
  <si>
    <t>https://m.eldiario.es/_31f65118</t>
  </si>
  <si>
    <t>cristina monge</t>
  </si>
  <si>
    <t>Hoy madrugamos un poco más para intentar desembrollar el lío judicial, los perfiles ideológicos que podrán hacer los partidos, y escuchar a @Albert_Rivera y a jorge ramos de @Univision en @HoyPorHoy con @PepaBueno @teoleongross y @MariolaUrrea Buenos días !!</t>
  </si>
  <si>
    <t>Deberíamos aprender más de los animales</t>
  </si>
  <si>
    <t>Politóloga, Dctra de Conversaciones de Ecodes y Profe de Sociología en la Univ. de Zaragoza. Autora de 15M: un movimiento político para democratizar la sociedad</t>
  </si>
  <si>
    <t>Daenerys</t>
  </si>
  <si>
    <t>Hola @Albert_Rivera RT @albertocairo: Terrifying. A fascist demonstration in the center of Madrid, Spain. What the fuck is happening everywhere?</t>
  </si>
  <si>
    <t>https://twitter.com/albertocairo/status/1064109549894934528</t>
  </si>
  <si>
    <t>https://pbs.twimg.com/media/DsR56HBU0AA5IIa.jpg</t>
  </si>
  <si>
    <t>♒️ 1996 | 👩🏻‍🎓 English Philology | 📚 English Teaching, UPF - Barcelona</t>
  </si>
  <si>
    <t>gsüs ℗ ƃǝ</t>
  </si>
  <si>
    <t>es que están llenos de amor estos benditos y los demás rezumamos odio por todos los poros cómo dice el necio @albert_Rivera</t>
  </si>
  <si>
    <t>https://www.msn.com/es-es/entretenimiento/tv/fascistas-insultan-a-gloria-serra-equipo-de-investigación-durante-un-reportaje-sobre-franco/ar-BBPOtgS?li=BBpm69L</t>
  </si>
  <si>
    <t>40° 13′ 00″N 06° 52′ 00″W</t>
  </si>
  <si>
    <t>La vida da muchas vueltas y en la última te mueres 💜</t>
  </si>
  <si>
    <t>jordi mateu</t>
  </si>
  <si>
    <t>¡Venga @Albert_Rivera! ¡Dale caña al mono, que es de goma! RT @Albert_Rivera: Indultos no, #EleccionesYa .</t>
  </si>
  <si>
    <t>Manuel Vega</t>
  </si>
  <si>
    <t>No conocía esta definición de "golpista" que acaba de dar Albert Rivera en @Desayunos_tve : "golpe a la democracia". El caso es seguir frivolizando con lo que es un golpe de Estado.</t>
  </si>
  <si>
    <t>Getafe, España</t>
  </si>
  <si>
    <t>Outdoor sports and Internet. Mountain bike, ski touring,Drupal...</t>
  </si>
  <si>
    <t>Madrid-Melilla</t>
  </si>
  <si>
    <t>Escribo (y viajo) donde puedo. Interesado en Historia, literatura, política internacional, viajes, deportes...</t>
  </si>
  <si>
    <t>http://precisionenlaprensa.blogspot.com.es/</t>
  </si>
  <si>
    <t>Más comentados ahora en Derecha/Centro Dcha.: ➀ @sanchezcastejon ↑↑ ➁ @Albert_Rivera ↑ ➂ @pepito_garca ↓ ➃ @altamiranoMLG ↓ ➄ @susanadiaz ↓ ➅ @PSOE ↓ ➆ @Nanchinho ↓ ➇ @alhucema66 ↓ ➈ @PPopular ↑↑ ➉ @currusquita ↑↑</t>
  </si>
  <si>
    <t>Un Vampiro Andalú</t>
  </si>
  <si>
    <t>Acabo de hacer follow a Santiago Abascal, Albert Rivera y al Partido Popular. Necesito una ducha.</t>
  </si>
  <si>
    <t xml:space="preserve">Transilvania </t>
  </si>
  <si>
    <t>Soy de los que ven el vaso medio lleno si es de agua y medio vacío si es de cerveza. Hombre lobo, Momia, a ver si nos vemos ¡cabrones!</t>
  </si>
  <si>
    <t>Más influyentes ahora en Derecha/Centro Dcha.: ➀ @Albert_Rivera ↑ ➁ @altamiranoMLG ↓ ➂ @pepito_garca ↓ ➃ @Nanchinho ↓ ➄ @alhucema66 ↓ ➅ @Santi_ABASCAL ↑↑ ➆ @CCivicaCatalana ↑↑ ➇ @currusquita ↑↑ ➈ @ldpsincomplejos ↑</t>
  </si>
  <si>
    <t>Pepito Grillo</t>
  </si>
  <si>
    <t>Cuando Ciudadanos (Naranjito Sin Zumo) tachaba de "espectáculo" el fletar autobuses políticos via @El_Plural</t>
  </si>
  <si>
    <t>Más comentados ahora en Derecha/Centro Dcha.: ➀ @gabrielrufian ↓ ➁ @Albert_Rivera ➂ @sanchezcastejon ↓ ➃ @Nanchinho ↑↑ ➄ @pepito_garca ↑ ➅ @altamiranoMLG ↑ ➆ @sergio_castro_g ↑ ➇ @hermanntertsch ➈ @PSOE ↑</t>
  </si>
  <si>
    <t>Lo importante no es que te sigan, sino la huella que dejaste.</t>
  </si>
  <si>
    <t>Messer</t>
  </si>
  <si>
    <t>Está Albert Rivera en la 1 repitiendo sin parar que él no es fascista, que es una mentira y que es muy demócrata xD</t>
  </si>
  <si>
    <t>Más influyentes ahora en Derecha/Centro Dcha.: ➀ @Albert_Rivera ↓ ➁ @Nanchinho ↑↑ ➂ @pepito_garca ↑ ➃ @altamiranoMLG ↑ ➄ @sergio_castro_g ↑ ➅ @hermanntertsch ➆ @ldpsincomplejos ↑ ➇ @larazon_es ↑ ➈ @jordi_canyas ↑</t>
  </si>
  <si>
    <t>Ya sólo planto árboles y flores.</t>
  </si>
  <si>
    <t>Johanna</t>
  </si>
  <si>
    <t>Yo cada vez tengo más claro que Albert Rivera va a la tele a decir la tontería más grande que pueda.</t>
  </si>
  <si>
    <t>Tabarnians</t>
  </si>
  <si>
    <t>Si, según @JoanTarda, el fascista es @Albert_Rivera, entonces @Santi_ABASCAL es hiper-extra-ultra-cojo-facha</t>
  </si>
  <si>
    <t>De izquierdas, roja, atea, feminista y animalista. Asesora de Imagen Personal y Corporativa. Organizadora de Eventos.</t>
  </si>
  <si>
    <t>Juan Porcel</t>
  </si>
  <si>
    <t>Albert Rivera es incapaz de llamar a VOX lo que es, partido de extrema derecha. Y el PP, con Pablo Casado a la cabeza, se niega a condenar el franquismo. Esta es la nueva derecha.</t>
  </si>
  <si>
    <t>Tabarnia transversal</t>
  </si>
  <si>
    <t>Primero Franco y luego la Generalitat, #Tabarnia lleva ya demasiados años intervenida.</t>
  </si>
  <si>
    <t>La PPina perjudica seriamente la salud. GRANADA CF y REAL MADRID en este orden. GRANADA. ESPAÑA. Cumpleaños 2 de mayo.</t>
  </si>
  <si>
    <t>Más comentados ahora en Derecha/Centro Dcha.: ➀ @Albert_Rivera ➁ @currusquita ↑ ➂ @hermanntertsch ↑ ➃ @PPopular ↑ ➄ @venezolanoenpie ↑ ➅ @pepito_garca ➆ @ldpsincomplejos ↓ ➇ @altamiranoMLG ↑↑ ➈ @PSOE ↓↓</t>
  </si>
  <si>
    <t>María José Fernández</t>
  </si>
  <si>
    <t>No hay escupitajo. Borrell miente. Ni piedras a Albert Rivera, ni violencia en Cataluña, ni paliza a guardias civiles en Alsasua, ni terrorismo en los CDR. Mentiras amplificadas por decenas de medios de comunicación HILO  #LaCafeteraCrispaciOFFRT @caval100: Definitivamente no hay escupitajo, ni siquiera amago. @JosepBorrellF miente en el @Congreso_Es</t>
  </si>
  <si>
    <t>https://twitter.com/caval100/status/1065305616762191877?s=19</t>
  </si>
  <si>
    <t>pic.twitter.com/aAgneG8chs</t>
  </si>
  <si>
    <t>Orgullosa de ser clase trabajadora. Cafetera, resistente, defensora de los animales y el medio ambiente. Rt no es estar de acuerdo.</t>
  </si>
  <si>
    <t>Más influyentes ahora en Derecha/Centro Dcha.: ➀ @Albert_Rivera ➁ @currusquita ↑↑ ➂ @hermanntertsch ↑ ➃ @venezolanoenpie ↑ ➄ @pepito_garca ➅ @ldpsincomplejos ↑↑ ➆ @carmelojorda ↑ ➇ @altamiranoMLG ↑↑ ➈ @rosadiezglez ↑</t>
  </si>
  <si>
    <t>Nominados al Premio Corto de Ficción: La Guardia Civil por "Sant Esteve de les Roures" Albert Rivera por "Las Piedras de Altsasu" Inés Arrimadas por "Lazos, agresión, condena, agresión. ¡Es de TV3! Infiltrados" Josep Borrell por "Anatomía de un escupitajo" Y el ganador es...</t>
  </si>
  <si>
    <t>https://pbs.twimg.com/media/DsmDwXoWsAAUxo6.jpg</t>
  </si>
  <si>
    <t>Más comentados ahora en Derecha/Centro Dcha.: ➀ @Albert_Rivera ↓ ➁ @sanchezcastejon ↓ ➂ @PSOE ➃ @ldpsincomplejos ↓ ➄ @Nanchinho ↑↑ ➅ @hermanntertsch ➆ @gabrielrufian ↑ ➇ @alhucema66 ↓ ➈ @Santi_ABASCAL ↑</t>
  </si>
  <si>
    <t>Manuel Huerga</t>
  </si>
  <si>
    <t>Cuando Albert Rivera sí pone etiquetas: extrema izquierda, populistas, bolivarianos, chavistas y golpistas</t>
  </si>
  <si>
    <t>https://www.eldiario.es/rastreador/Albert-Rivera-extrema-populistas-bolivarianos_6_838226200.html</t>
  </si>
  <si>
    <t>Más influyentes ahora en Derecha/Centro Dcha.: ➀ @Albert_Rivera ↓ ➁ @Nanchinho ↑↑ ➂ @alhucema66 ↑ ➃ @hermanntertsch ➄ @CCivicaCatalana ↑ ➅ @Anonymus_ES ↑↑ ➆ @pepito_garca ↓ ➇ @Santi_ABASCAL ↑ ➈ @CristinaSegui_ ↑</t>
  </si>
  <si>
    <t>Barcelona (Catalunya)</t>
  </si>
  <si>
    <t>Filmmaker</t>
  </si>
  <si>
    <t>http://www.manuelhuerga.com</t>
  </si>
  <si>
    <t>Más comentados ahora en Derecha/Centro Dcha.: ➀ @Albert_Rivera ↓ ➁ @sanchezcastejon ↓ ➂ @Santi_ABASCAL ➃ @CCivicaCatalana ↓ ➄ @PSOE ↑ ➅ @ldpsincomplejos ↓ ➆ @susanadiaz ↑ ➇ @spiriman ↑ ➈ @currusquita ↑</t>
  </si>
  <si>
    <t>Más influyentes ahora en Derecha/Centro Dcha.: ➀ @Albert_Rivera ↓ ➁ @Santi_ABASCAL ➂ @CCivicaCatalana ↓ ➃ @ldpsincomplejos ➄ @currusquita ↑ ➅ @altamiranoMLG ↓ ➆ @MariaTabarnia ↑ ➇ @pepito_garca ↑ ➈ @CiudadanosCs</t>
  </si>
  <si>
    <t>Todo Radio🇪🇸</t>
  </si>
  <si>
    <t>ALBERT RIVERA: PEDRO SÁNCHEZ da plantón a los disidentes cubanos:  via @YouTube</t>
  </si>
  <si>
    <t>Esto Sres @Almagro_OEA2015 @marcorubio @mauriciomacri @sebastianpinera @MartinVizcarraC @IvanDuque @EPN @MaritoAbdo @mbachelet @jairbolsonaro @JCvalera @beatrizbecerrab @Albert_Rivera @pablocasado @mbachelet @ONU_es @OEA_oficial que les parece.? RT @sol651: ALERTA Ya no es solo @valentinpueblo quien anuncia saqueos e invasiones ya en el programa @LaZurdaDeChavez AMENAZAN con saqueos y ataques a las viviendas de disidentes el Regimen en Caracas y el interior del país @PedroKonductaz @mangozurda amenazan la propiedad privada</t>
  </si>
  <si>
    <t>http://youtu.be/cam34qHb0-Q?a</t>
  </si>
  <si>
    <t>https://twitter.com/sol651/status/1064918545098788871</t>
  </si>
  <si>
    <t>pic.twitter.com/ajx9vTCdi5</t>
  </si>
  <si>
    <t>Somo, Cantabria</t>
  </si>
  <si>
    <t>Playa de Somo,Cantabria. ESPAÑA</t>
  </si>
  <si>
    <t>https://www.youtube.com/channel/UCzAeV22GnQxwUBokDOEyb4A</t>
  </si>
  <si>
    <t>Más comentados ahora en Derecha/Centro Dcha.: ➀ @Albert_Rivera ↓↓ ➁ @sanchezcastejon ↓↓ ➂ @pepito_garca ↓↓ ➃ @hermanntertsch ↓↓ ➄ @currusquita ↓ ➅ @susanadiaz ↓↓ ➆ @Nanchinho ↓↓ ➇ @gabrielrufian ↓↓ ➈ @alhucema66 ↓↓</t>
  </si>
  <si>
    <t>Más influyentes ahora en Derecha/Centro Dcha.: ➀ @Albert_Rivera ↓↓ ➁ @pepito_garca ↓↓ ➂ @hermanntertsch ↓↓ ➃ @currusquita ↓ ➄ @Nanchinho ↓↓ ➅ @alhucema66 ↓↓ ➆ @Santi_ABASCAL ↓ ➇ @MariaTabarnia ↓ ➈ @ldpsincomplejos ↑</t>
  </si>
  <si>
    <t>Jorcab</t>
  </si>
  <si>
    <t>Sr. @Albert_Rivera 60e limpios es lo que vd. considera una #EquiparacionYa ?? De verdad que va a hacer lo mismo que todos los demás partidos políticos? Engañar para ganar votos? En serio? De verdad maltratan así a sus polícias? Manda huevos la clase política que tenemos...</t>
  </si>
  <si>
    <t>Y el diablo me susurró al oído...no podrás soportar la tormenta...y yo le contesté...YO soy la tormenta..</t>
  </si>
  <si>
    <t>SomosLegion</t>
  </si>
  <si>
    <t>En Nuestra Plaza: Estos habría que difundirlo: 📢El Gobierno #corrupto neoliberal de Macri en la Argentina, apoyado por @Albert_Rivera y el @PPopular 🇪🇸 se carga a un Club de Futbol Español con #Tarifazos</t>
  </si>
  <si>
    <t>https://ift.tt/2DxlZd8</t>
  </si>
  <si>
    <t>¿Por qué Albert Rivera (Naranjito Sin Zumo) no se atreve a decir que Vox es extrema derecha? Twitter analiza los motivos -</t>
  </si>
  <si>
    <t>.@JoanTarda, a @Albert_Rivera : "Cada vez que nos llame golpistas, le llamaremos fascista"</t>
  </si>
  <si>
    <t>http://elperiodi.co/lkwos5</t>
  </si>
  <si>
    <t>José Giráldez</t>
  </si>
  <si>
    <t>¿Por qué Albert Rivera no se atreve a decir que Vox es extrema derecha? -  https%3A%2F%%2Ftremending%2F2018%2F11%2F21%2Fpor-que-albert-rivera-no-se-atreve-a-decir-que-vox-es-extrema-derecha-twitter-analiza-los-motivos%2F</t>
  </si>
  <si>
    <t>Gilbertástico</t>
  </si>
  <si>
    <t>Se abre el telón y aparecen @Albert_Rivera e @InesArrimadas , pero los independentistas no quieren separarse de España. ¿Cómo se llama la raza robótica alienígena?</t>
  </si>
  <si>
    <t>https://www.publico.es/tremending/2018/11/21/por-que-albert-rivera-no-se-atreve-a-decir-que-vox-es-extrema-derecha-twitter-analiza-los-motivos/
http://2Fwww.publico.es</t>
  </si>
  <si>
    <t>Vicepresidente pedagógico de Espiral, educación y tecnología.</t>
  </si>
  <si>
    <t>Músico que canta cosas</t>
  </si>
  <si>
    <t>http://gilbertastico.bandcamp.com</t>
  </si>
  <si>
    <t>Más comentados ahora en Derecha/Centro Dcha.: ➀ @Albert_Rivera ↑ ➁ @sanchezcastejon ↑ ➂ @pepito_garca ↓ ➃ @hermanntertsch ↑ ➄ @alhucema66 ↑ ➅ @gabrielrufian ↓ ➆ @PSOE ↓↓ ➇ @ldpsincomplejos ↓ ➈ @Nanchinho ↓</t>
  </si>
  <si>
    <t>SergGB92</t>
  </si>
  <si>
    <t>Más influyentes ahora en Derecha/Centro Dcha.: ➀ @Albert_Rivera ↑ ➁ @pepito_garca ↓ ➂ @hermanntertsch ↑ ➃ @alhucema66 ↑ ➄ @ldpsincomplejos ➅ @Nanchinho ↓ ➆ @CCivicaCatalana ↓ ➇ @currusquita ↓ ➈ @GirautaOficial</t>
  </si>
  <si>
    <t>La gente que comparaba a Albert Rivera con Jose Antonio Primo de Rivera no se que hacía con su vida cuando tenemos a Alejandro Lerroux al que se le parecía mucho más.</t>
  </si>
  <si>
    <t>Zaragoza, mucho cierzo(España)</t>
  </si>
  <si>
    <t>26.Graduado en Historia.Experimento de profesor.Tengo una relación estable con mi gato y mi gato con mi novio.</t>
  </si>
  <si>
    <t>Covita</t>
  </si>
  <si>
    <t>Ningún tipo de violencia es justificable no les parece @Albert_Rivera @pablocasado_ @policia? RT @EqInvestigacion: 🔴IMÁGENES EXCLUSIVAS🔴 Lo que todavía no has visto de la grabación más difícil de @gloria_serra y su equipo en plena marcha de la Falange y los nostálgicos del franquismo hacia el Valle de los Caídos “Los Papeles Secretos de Franco” Martes 20N || 22.30h || @laSextaTV</t>
  </si>
  <si>
    <t>https://twitter.com/EqInvestigacion/status/1064638255839236096</t>
  </si>
  <si>
    <t>pic.twitter.com/suRYuYRbGQ</t>
  </si>
  <si>
    <t>Madre, profesora y enamorada de la vida. Sólo se ve bien con el corazón, lo esencial es invisible a los ojos.</t>
  </si>
  <si>
    <t>y soy andaluz, muy andaluz, i molt catalá¿y que?</t>
  </si>
  <si>
    <t>#HemicircoAR que Albert Rivera no es fascista? Pregúntale a la gente del pueblo de La Garriga donde estuvo trabajando en La Caixa, que se declaraba abiertamente franquista</t>
  </si>
  <si>
    <t>Gracias @ignacioaguado por visitar este martes la redacción del periódico @gentedigital El viernes podréis leer la entrevista @Cs_Madrid @CiudadanosCs @Albert_Rivera</t>
  </si>
  <si>
    <t xml:space="preserve">VIC, República Catalana </t>
  </si>
  <si>
    <t>https://pbs.twimg.com/media/Dse_UQyXgAIs8TO.jpg</t>
  </si>
  <si>
    <t>Nacho S.</t>
  </si>
  <si>
    <t>✊🌷Ciudadanos reconoce que representan al Ibex-35 🔴Juan Marín y Albert Rivera reconocen ser representantes de la sociedad civil, ergo las empresas más importantes. #ElPSOEDaSeguridad #CsHipócritas</t>
  </si>
  <si>
    <t>http://mediterraneo.diario16.com/ciudadanos-reconoce-representan-al-ibex-35/</t>
  </si>
  <si>
    <t>Celia Sanchez J</t>
  </si>
  <si>
    <t>Por desgracia @Albert_Rivera , los valores para muchos ni están de moda ni piensan en ello, tienen otras prioridades. RT @CiudadanosCs: 📽️@Albert_Rivera "Hoy puede ser un antes y un después en la historia del PSOE; veremos si tienen decencia y están al lado de los demócratas. La pregunta de si indultará a los golpistas le acompañará a Sánchez hasta su último día en Moncloa" #STOPIndultos</t>
  </si>
  <si>
    <t>Principado de Asturias</t>
  </si>
  <si>
    <t>Libre Pensamiento - Socialdemócrata Colaborador y Defensor Social: Médicos Sin Fronteras, Cruz Roja, Acnur.... Busco el encuentro y no el enfrentamiento.</t>
  </si>
  <si>
    <t>https://twitter.com/CiudadanosCs/status/1064940088742825984</t>
  </si>
  <si>
    <t>pic.twitter.com/VlBe54UXGK</t>
  </si>
  <si>
    <t>Fuengirola, España</t>
  </si>
  <si>
    <t>Abogada. Ciudadana Comprometida con Cs Fuengirola.Docente por el M. del Interior F.C.S.</t>
  </si>
  <si>
    <t>Blog Societat Anònima</t>
  </si>
  <si>
    <t>Pedro Sánchez no votó la Constitución. Pablo Casado no votó la Constitución. Albert Rivera no votó la Constitución. Pablo Iglesias no votó la Constitución. Felipe VI no votó la Constitución. Cuando alguien afirme que la votaron todos los españoles, ríete.</t>
  </si>
  <si>
    <t>Àlex Ribes. Turisme. Audiovisuals. Professor i blogaire. Autor de BENVOLGUT, O NO (Viena Edicions, 2016). INSTAGRAM: http://instagram.com/ribes.a/</t>
  </si>
  <si>
    <t>http://societatanonima.wordpress.com/</t>
  </si>
  <si>
    <t>Autobús de Campanya</t>
  </si>
  <si>
    <t>Va, @Albert_Rivera sigue buscando el conflicto, a ver si nos peleamos más todos y tú pillas cinco escaños más. RT @Albert_Rivera: 🏛 Una nación decente no promete ni regala impunidad a quienes intentan liquidar la democracia. Señores del PSOE y de Podemos, ¿ustedes hubieran indultado a Tejero? Nosotros nunca. ¿Por qué quieren indultar a los golpistas separatistas? #STOPIndultos</t>
  </si>
  <si>
    <t>Muy interesante. encampanyae@gmail.com</t>
  </si>
  <si>
    <t>Andy Lermith Camejo</t>
  </si>
  <si>
    <t>No es nada fácil!!!! En éste preciso momento la temperatura mínima está en 5° y continuará bajando en Madrid. #Venezuela #venezuelalibre #venezuelalucha @VP_Espana @VPInternacional @sanchezcastejon @pablocasado_ @Albert_Rivera @gobiernoespa @Almagro_OEA2015</t>
  </si>
  <si>
    <t>El PSC-PSOE vota en el Parlament con los separatistas para admitir la invasión de lazos amarillos, tumbando así la ley de neutralidad en los espacios públicos de Ciudadanos. No tienen remedio.</t>
  </si>
  <si>
    <t>https://www.esdiario.com/46982221/El-PSC-vota-con-los-independentistas-para-admitir-la-invasion-de-lazos-amarillos.html</t>
  </si>
  <si>
    <t>pic.twitter.com/Plcl3OoheA</t>
  </si>
  <si>
    <t>Las Palmas de Gran Canaria, Es</t>
  </si>
  <si>
    <t>Político;No politiquero. Progresista, Ucevista, Luchador Social, Miembro Electo de VOLUNTAD POPULAR por lo tanto perseguido Político. Venezolano en mis Venas.</t>
  </si>
  <si>
    <t>Fernando Román</t>
  </si>
  <si>
    <t>Que lamentable @Albert_Rivera en el congreso hoy insultando a Tarda, vaya nefasto personaje, bien Tarda con la respuesta!</t>
  </si>
  <si>
    <t>Rafa Morata</t>
  </si>
  <si>
    <t>Pese a que objetivamente VOX es un partido de ultraderechas, el replicante naranja Albert Rivera solo califica a quienes les son ideológicamente opuestos. Con sus afines, hace mutis por el foro... Es un cínico de manual RT @La_SER: Albert Rivera evita calificar a Vox como un partido de ultraderecha La entrevista completa del líder de @CiudadanosCs en @HoyPorHoy con @PepaBueno →</t>
  </si>
  <si>
    <t>Barakaldo- País Vasco</t>
  </si>
  <si>
    <t>De Barakaldo , Historiador, vecino de Burceña, amigo de mis amigos, me gustan las cosas bien hechas.</t>
  </si>
  <si>
    <t>Ceuta</t>
  </si>
  <si>
    <t>Maestro de Primaria en la pública (la mejor, la de todos). Ugetista. Socialista. Cinefilia, viñetas y vida. Web personal consagrada a Rainer Werner Fassbinder</t>
  </si>
  <si>
    <t>https://www.rafamorata.es</t>
  </si>
  <si>
    <t>En tresca</t>
  </si>
  <si>
    <t>Todo esto pasa por culpa de un señor y que nadie habla y siempre se va de rositas y es ALBERT RIVERA. Este personaje es el culpable de todo esto pero nadie lo ha expulsado ni llamado la atención nunca HemicircoAR</t>
  </si>
  <si>
    <t>Gemma J.</t>
  </si>
  <si>
    <t>Cada vez que nos llame a nosotros “golpistas”, le diremos “fascista”. @JoanTarda a @Albert_Rivera Vali, em sembla bé. Però la República per quan?</t>
  </si>
  <si>
    <t>pic.twitter.com/AzuA3L5ZpD</t>
  </si>
  <si>
    <t>Joan Baldoví ;)</t>
  </si>
  <si>
    <t>- Señor Albert Rivera, ¿el franquismo era una dictadura? - Yo no soy analista político, yo sólo veo españoles</t>
  </si>
  <si>
    <t>La Selva</t>
  </si>
  <si>
    <t>Republicana, feminista, antifeixista i atea, entre moltes altres coses. Que només els petons ens tapin la boca. Visc esperant que s’eixampli prou la base.</t>
  </si>
  <si>
    <t>https://Instagram.com/gemmajhb</t>
  </si>
  <si>
    <t>Sueca, País Valencià</t>
  </si>
  <si>
    <t>Diputat de @compromisCGR Valencià de soca-rel #ambValentia #aLaValenciana</t>
  </si>
  <si>
    <t>http://joanbaldovi.com</t>
  </si>
  <si>
    <t>Álvaro Herraiz San Martín</t>
  </si>
  <si>
    <t>#20N ó #21N, no les da vergüenza, @PedrosanchezSg, @sorayasds, @Albert_Rivera o @Pablo_Iglesias_, estar discutiendo sobre en que huerta caerá el abono de la foto inferior y, ni palabra, que también le pertoca, @ManuelaCarmena, sobre cuándo comen y dónde duermen estxs señorxs?</t>
  </si>
  <si>
    <t>https://pbs.twimg.com/media/Dse19mrWwAAlTaL.jpg</t>
  </si>
  <si>
    <t>Embajadores, Madrid</t>
  </si>
  <si>
    <t>Castellana♜🔻Internacionalista ⚒Obrera ★Antifascista ♀Feminista Pro🌈LGTBIQ+ 🇹🇯Kurdistan✊فلسطين🇵🇸</t>
  </si>
  <si>
    <t>LoLa ✌️</t>
  </si>
  <si>
    <t>#EquipoFranco #PuntoFranquistas Estos habría que difundirlo: 📢El Gobierno #corrupto neoliberal de Macri en la Argentina, apoyado por @Albert_Rivera y el @PPopular 🇪🇸 se carga a un Club de Futbol Español con #Tarifazos RT @NoticiasCactus: #Morón | Un club en emergencia por los tarifazos y la quita de la tarifa social: 68 mil pesos de gas</t>
  </si>
  <si>
    <t>https://twitter.com/NoticiasCactus/status/1064952668861489154
https://elcactus.com.ar/2018/11/moron-un-club-en-emergencia-por-los-tarifazos/</t>
  </si>
  <si>
    <t>https://pbs.twimg.com/media/Dsd4l5CW0AAiZjn.jpg</t>
  </si>
  <si>
    <t>San Petersburgo, Rusia</t>
  </si>
  <si>
    <t>✌️100% Populist 🇷🇺 Stop Neoliberals Puppets</t>
  </si>
  <si>
    <t>Más comentados ahora en Derecha/Centro Dcha.: ➀ @Albert_Rivera ↓ ➁ @sanchezcastejon ↓ ➂ @alhucema66 ↓ ➃ @pepito_garca ↓ ➄ @PSOE ↓ ➅ @susanadiaz ↓ ➆ @currusquita ↑ ➇ @PPopular ↓ ➈ @CiudadanosCs ↑ ➉ @jordi_canyas ↓</t>
  </si>
  <si>
    <t>🇨🇺 Sánchez da plantón a los disidentes cubanos para no molestar a la dictadura castrista, lamentable. Pero no nos sorprende. Esto ocurría hace un mes en el Congreso👇🏻</t>
  </si>
  <si>
    <t>Más influyentes ahora en Derecha/Centro Dcha.: ➀ @Albert_Rivera ↓ ➁ @alhucema66 ↓ ➂ @pepito_garca ↓ ➃ @currusquita ↑ ➄ @CCivicaCatalana ↑ ➅ @jordi_canyas ↓ ➆ @hermanntertsch ↑ ➇ @Nanchinho ↓ ➈ @CiudadanosCs ↓</t>
  </si>
  <si>
    <t>Cuando escucho los ladridos de odio de @pablocasado_ @Albert_Rivera @InesArrimadas @vox_es calificar a los políticos exiliados como 'huidos de la Justicia', recuerdo que millones de judios europeos intentaron 'huir de la Justicia'. La Justicia no siempre es JUSTICIA y en 🇪🇸 menos</t>
  </si>
  <si>
    <t>Esta Sra es la verdadera oposición @MariaCorinaYA @beatrizbecerrab @EP_President @Albert_Rivera @pablocasado @marcorubio @Almagro_OEA2015 @willycochez @SenRubioPress RT @isonmayu: María Corina Machado tuvo la Valentina de llamar ladrón a Chávez en su cara. RECORDAR ES VIVIR. #20Nov #21Nov #DiaInternacionalDelHombre</t>
  </si>
  <si>
    <t>https://twitter.com/isonmayu/status/1064604437304524800</t>
  </si>
  <si>
    <t>pic.twitter.com/YQKSKZUQJU</t>
  </si>
  <si>
    <t>El PP, y C.s, de Albert Rivera, evitan condenar el franquismo, luego les molesta que los llamen fascistas, no tienen motivos para enfadarse, por que lo son</t>
  </si>
  <si>
    <t>Irene Gálvez</t>
  </si>
  <si>
    <t>Las telarañas del sanchismo o el. Poder a cualquier precio. @Albert_Rivera @CiudadanosCs 🍊🍊🧡🧡</t>
  </si>
  <si>
    <t>https://youtu.be/juba6tfIxxs</t>
  </si>
  <si>
    <t>Lda Humanidades. Master en Comunicación Social. Coherencia Cervantina.España sin Cainismo.</t>
  </si>
  <si>
    <t>La tragedia provocada en Cataluña. Albert Rivera lo explica de forma clara, concisa y argumentada. @CiudadanosCs 🍊🍊🍊🍊 @Albert_Rivera</t>
  </si>
  <si>
    <t>https://youtu.be/NVSW54BAaOM</t>
  </si>
  <si>
    <t>Joan CT</t>
  </si>
  <si>
    <t>Me gusts @Albert_Rivera la cara que pone parece que vaya matar alguien</t>
  </si>
  <si>
    <t>https://pbs.twimg.com/media/DseriaSWkAADsyT.jpg</t>
  </si>
  <si>
    <t>Sabadell, España</t>
  </si>
  <si>
    <t>antes era malo ahora no!!!!</t>
  </si>
  <si>
    <t>Revista Siempre!</t>
  </si>
  <si>
    <t>Ha recalcado @Albert_Rivera, que no puede ser presidente del Gobierno quien apoye el indulto para los golpistas porque “no es decente”. Y no lo es, ha añadido, porque “no puede salir gratis” el intento de un golpe de Estado, como ocurrió en Cataluña. 🇪🇦</t>
  </si>
  <si>
    <t>https://bit.ly/2Fw2zYw</t>
  </si>
  <si>
    <t>México</t>
  </si>
  <si>
    <t>Revista fundada el 27 de junio de 1953, icono y referente del periodismo plural mexicano.</t>
  </si>
  <si>
    <t>http://www.siempre.com.mx</t>
  </si>
  <si>
    <t>Francisco Cantero</t>
  </si>
  <si>
    <t>Mª Cinta Martí</t>
  </si>
  <si>
    <t>LO SIENTO @vox_es @pablocasado_ y @Albert_Rivera PERO A MI NO ME GUSTA FRANCO. A Don Antonio si, hoy está muy sensible, pero a mi no. Yo creo en la libertad. Que cada uno diga, piense y haga lo que quiera, que a falta de Inquisición ya Dios juzgará severamente. #20N #EquipoFranco</t>
  </si>
  <si>
    <t>Miembro de %ATTAC y Red Renta Básica</t>
  </si>
  <si>
    <t>Pamplona</t>
  </si>
  <si>
    <t>Nací en Montana, USA. Abnegada esposa de Don Antonio. Creacionista, ultraconservadora, feminista, intelectual y devota lectora de la Biblia. Deus Vult!</t>
  </si>
  <si>
    <t>https://mcintamarti.wordpress.com/</t>
  </si>
  <si>
    <t>REPUBLICA i bon cop de falç</t>
  </si>
  <si>
    <t>Albert Rivera, no analices tanto, a ver si te vas a hacer daño, contigo mismo, campeón. RT @gerardotc: - Rivera, ¿cómo definirías a Podemos? - Extrema izquierda radical y peligrosa. - ¿Y a VOX? - Yo no soy analista político, yo sólo veo españoles.</t>
  </si>
  <si>
    <t>https://twitter.com/gerardotc/status/1065172100263096320</t>
  </si>
  <si>
    <t>Nat a una terra ocupada, moriré a una nació lliure i republicana</t>
  </si>
  <si>
    <t>Dr. John Smith  🎗</t>
  </si>
  <si>
    <t>Catalunya triomfant Tornarà a ser rica i plena. Endarrera aquesta gent Tan ufana i tan superba. Bon cop de falç!</t>
  </si>
  <si>
    <t>https://www.youtube.com/watch?v=F2QdLseop8g</t>
  </si>
  <si>
    <t>#PuntoFranquistas @Albert_Rivera salen tus amigos !</t>
  </si>
  <si>
    <t>Mi psiquiatra me dijo que estaba loco, pedí una segunda opinión. Me dijo que también era feo.</t>
  </si>
  <si>
    <t>.@JoanTarda, a .@Albert_Rivera: "Cada vez que nos llame golpistas, le llamaremos fascista"</t>
  </si>
  <si>
    <t>https://www.elperiodico.com/es/politica/20181120/tarda-rivera-fascistas-7158541</t>
  </si>
  <si>
    <t>Jesuki🇪🇸🇪🇸🇪🇸</t>
  </si>
  <si>
    <t>Lilian Tintori, la mujer del golpista venezolano condenado, no perdonará nunca a los independentistas, y es que desde que Albert Rivera encontró ese filón, se ha olvidado de Venezuela como si nunca hubiera oído hablar de ese país. Pero perderla de vista es todo un detalle 😊</t>
  </si>
  <si>
    <t>S ha de ser MISERABLE!!!!! @CiutadansCs @InesArrimadas @Albert_Rivera RT @rac1: Un autocar de Ciutadans recorre Madrid en contra de l’indult als independentistes empresonats amb imatges d'Oriol Junqueras rient</t>
  </si>
  <si>
    <t>Español. Anti fanáticos. Provida de los ya nacidos y pro que cada cual se ocupe sólo de la suya. No me hables de usted: yo no lo haré y además, lo detesto.</t>
  </si>
  <si>
    <t>Girona, España</t>
  </si>
  <si>
    <t>#España Ciudadanos (C's): Juan Marín: 'Es una vergüenza cómo @PPopular y @PSOE se han repartido la Justicia; señores Sánchez y Casado, saquen sus zarpas de ellas' @Albert_Rivera @CiudadanosCs</t>
  </si>
  <si>
    <t>http://www.lacerca.com/noticias/espana/ciudadanos-marin-pp-psoe-senores-sanchez-casado-saquen-445819-1.html</t>
  </si>
  <si>
    <t>Los Desayunos</t>
  </si>
  <si>
    <t>▪ Tensión en el Congreso ▪ 'Brexit' ▪ Crecimiento económico ▪ Condena al franquismo ▪ Sánchez visita Cuba ▪ Albert Rivera ¡Comenzamos! Con @xabierfortes 📺  #LosDesayunos</t>
  </si>
  <si>
    <t>http://www.rtve.es/directo/la-1</t>
  </si>
  <si>
    <t>https://pbs.twimg.com/media/Dsly_-VVAAATnxw.jpg</t>
  </si>
  <si>
    <t>Alicia Díaz Álamo</t>
  </si>
  <si>
    <t>.@Albert_Rivera" No a los indultos, sí a la justicia" #STOPIndultos</t>
  </si>
  <si>
    <t>De lunes a viernes de 8.30 a 10.05 horas. Twitter oficial del programa. Dirigido y presentado por @xabierfortes</t>
  </si>
  <si>
    <t>http://www.rtve.es/losdesayunos</t>
  </si>
  <si>
    <t>pic.twitter.com/8RkM98kYGq</t>
  </si>
  <si>
    <t>Las Palmas de Gran Canaria</t>
  </si>
  <si>
    <t>Curiosa por naturaleza.</t>
  </si>
  <si>
    <t>https://es.linkedin.com/in/aliciadiazalamo</t>
  </si>
  <si>
    <t>Doctor Jekyll</t>
  </si>
  <si>
    <t>Si a Albert Rivera le tiraron piedras que nadie vio, no veo por qué a Borrell no le iban a tirar escupitajos invisibles. #LaCafeteraCrispaciOFF</t>
  </si>
  <si>
    <t>Más comentados ahora en Derecha/Centro Dcha.: ➀ @Albert_Rivera ↓ ➁ @sanchezcastejon ↑ ➂ @alhucema66 ↓ ➃ @pepito_garca ↑ ➄ @PSOE ↓ ➅ @susanadiaz ↑ ➆ @gabrielrufian ↑↑ ➇ @jordi_canyas ↑↑↑ ➈ @Nanchinho ➉ @PPopular ↑</t>
  </si>
  <si>
    <t>Método científico o barbarie. Químico.</t>
  </si>
  <si>
    <t>Más influyentes ahora en Derecha/Centro Dcha.: ➀ @Albert_Rivera ↓ ➁ @alhucema66 ↓ ➂ @pepito_garca ↑ ➃ @Nanchinho ↑ ➄ @jordi_canyas ↑ ➅ @Santi_ABASCAL ↓ ➆ @Cs_Andalucia ↑ ➇ @ldpsincomplejos ↑ ➈ @CiudadanosCs ↓</t>
  </si>
  <si>
    <t>Homografix 🥄</t>
  </si>
  <si>
    <t>Albert Rivera es político de profesión, va a los medios de comunicación a hablar de política y a hacer política, pero cuando le piden su opinión sobre VOX se declara incompetente. No quiere insultar a la ultraderecha. Lógico. Los va a necesitar en el parlamento.</t>
  </si>
  <si>
    <t>JJ Sancho</t>
  </si>
  <si>
    <t>Cuando @Albert_Rivera escribe PSOE el autocorrector ya le completa el resto RT @Albert_Rivera: 🏛 PSOE, Podemos y separatistas tumban nuestra iniciativa para impedir que se indulte a los golpistas del procés en caso de que sean condenados. Esto es un antes y un después: el PSOE ha abandonado definitivamente el constitucionalismo. #STOPIndultos</t>
  </si>
  <si>
    <t>Aldea gala</t>
  </si>
  <si>
    <t>Libertador de gamusinos. Chiripitifláutico. Carácter es destino. Ateo gracias a Dios. Exprofesor, experiodista, ex corrector de textos, excamarero, hexagonal.</t>
  </si>
  <si>
    <t>http://quepormayoerapormayo.org</t>
  </si>
  <si>
    <t>Marinaleda</t>
  </si>
  <si>
    <t>Como mi madre y mi abuela... Otro andaluz emigrante más</t>
  </si>
  <si>
    <t>http://lokesevea.blogspot.com</t>
  </si>
  <si>
    <t>⚖️@Albert_Rivera 'Sánchez, Iglesias y Junqueras cambian indultos por escaños y eso es inmoral' #STOPIndultos</t>
  </si>
  <si>
    <t>https://pbs.twimg.com/media/Dseg_oMWwAAvnhl.jpg</t>
  </si>
  <si>
    <t>Orgullo ✊ Obrero</t>
  </si>
  <si>
    <t>Kmiseto</t>
  </si>
  <si>
    <t>Imagino que Albert Rivera y Carlos Baute y demás carcundia no harán una recogida de insulina para mandar a EEUU, como la de medicamentos que hicieron en Madrid para Venezuela(medicamentos que no se enviaron porque era un postureo innecesario).</t>
  </si>
  <si>
    <t>Bueno, pues el día de hoy saludaremos a @Albert_Rivera @InesArrimadas por el adjetivo calificativo que lo define. Al igual que su partido @CiudadanosCs y a sus votantes FASCISTAS...!!! FASCISTAS...!!! FASCISTAS...!!! FASCISTAS...!!! FASCISTAS...!!! FASCISTAS...!!! RT @Cazatalentos: Joan Tardá reprime al demagogo Albert Rivera: ¡FAS-CIS-TA!</t>
  </si>
  <si>
    <t>https://pbs.twimg.com/media/Dslq1VWX4AAQMDl.jpg</t>
  </si>
  <si>
    <t>https://twitter.com/cazatalentos/status/1064955062957600768</t>
  </si>
  <si>
    <t>Humilde revolucionario ateo,comunista y republicano</t>
  </si>
  <si>
    <t>Mi Dios sí existe, el tuyo no. O era al revés? 🧐</t>
  </si>
  <si>
    <t>🇪🇸🇪🇸blasdelezo🇪🇸🇪🇸</t>
  </si>
  <si>
    <t>Fan de la expresión de @Albert_Rivera exactamente una reacción ejemplar ante semejante chorrada fanática del "señor" @JoanTarda el muy amigo de la palabra "fusilar"... venga hombre, Tardà, que sóis más de quemar vivos a curas y monjas... cuales yihadistas RT @jordi_canyas: Los amigos de @sanchezcastejon . Los golpistas.</t>
  </si>
  <si>
    <t>https://twitter.com/jordi_canyas/status/1064990394692354048</t>
  </si>
  <si>
    <t>pic.twitter.com/dtU4Or36oG</t>
  </si>
  <si>
    <t>🇪🇸🇪🇸🇪🇸🇪🇸 Después de que el PP pusiera en la calle al que pudo haber sido el asesino de mis padres (Bolinaga), yo voto a VOX🇪🇸🇪🇸🇪🇸🇪🇸</t>
  </si>
  <si>
    <t>Albert Rivera se niega a calificar a VOX de ultradetechista porque el no es un analista político, pero bien que sabe que ERC son golpistas. La soberbia y desFACHAtez de este político es infinita</t>
  </si>
  <si>
    <t>El Cuñadómetro</t>
  </si>
  <si>
    <t>Albert Rivera publicó fotos de profesores llamando a su linchamiento y luego fueron declarados inocentes. Ha propuesto prohibir el indulto a gente que aún no ha sido juzgada. @Albert_Rivera propondrà la pena de muerte sin juicio. Luego se raparà la cabeza. #STOPIndultos</t>
  </si>
  <si>
    <t>Antonya,Tyty (#aol)🔻</t>
  </si>
  <si>
    <t>Me ha gustado un vídeo de @YouTube ( - Cuando Albert Rivera sí pone etiquetas: extrema izquierda, populistas,</t>
  </si>
  <si>
    <t>http://youtu.be/3RktiXmHE5g?a</t>
  </si>
  <si>
    <t>Cuenta dedicada a la conservación y preservación del Tipicus Hispanicus Cuñadus. Hacemos el Manual del Buen Cuñado en @ElJueves</t>
  </si>
  <si>
    <t>@FSA_AOL &amp; FANCLUBSPAINAOLO &amp; http://facebook.com/groups/FANCLUB… Delicious Aol http://facebook.com/pages/Deliciou…</t>
  </si>
  <si>
    <t>https://www.instagram.com/el_cunadometro/</t>
  </si>
  <si>
    <t>http://antonyasantyago.blogspot.com/</t>
  </si>
  <si>
    <t>Julián</t>
  </si>
  <si>
    <t>El apuro de Rivera cuando le preguntan si Vox es extrema derecha via @El_Plural</t>
  </si>
  <si>
    <t>Habla @Albert_Rivera de decencia con las mentiras que ha lanzado? RT @CiudadanosCs: 📽️@Albert_Rivera "Hoy puede ser un antes y un después en la historia del PSOE; veremos si tienen decencia y están al lado de los demócratas. La pregunta de si indultará a los golpistas le acompañará a Sánchez hasta su último día en Moncloa" #STOPIndultos</t>
  </si>
  <si>
    <t>Siles, España</t>
  </si>
  <si>
    <t>Portavoz PSOE A, Ayuntamiento de Siles (Jaén). Munca dejes de creer</t>
  </si>
  <si>
    <t>La cara de @Albert_Rivera es de "vaya dos personajes tiene ERC en el Congreso". RT @yosoynaranjito_: El abuelo cebolleta Joan Tardà llama a Albert Rivera ‘fascista’ tirando de histrionismo y demagogia. Intentaron subvertir el orden constitucional de manera unilateral, y guste o no guste eso tiene un nombre: ¡Golpistas! #STOPIndultos</t>
  </si>
  <si>
    <t>https://twitter.com/yosoynaranjito_/status/1064957067264430082</t>
  </si>
  <si>
    <t>pic.twitter.com/Y7UR4kQ51P</t>
  </si>
  <si>
    <t>Más comentados hoy en Derecha/Centro Dcha.: ➀ @sanchezcastejon ↓ ➁ @susanadiaz ↑ ➂ @PSOE ↑ ➃ @Albert_Rivera ↓ ➄ @PPopular ↓ ➅ @pepito_garca ↓ ➆ @ldpsincomplejos ↓ ➇ @JuanMarin_Cs ↑↑ ➈ @Cs_Andalucia ↑↑</t>
  </si>
  <si>
    <t>https://pbs.twimg.com/media/DsebwNkXQAYc1Bc.jpg</t>
  </si>
  <si>
    <t>Más influyentes hoy en Derecha/Centro Dcha.: ➀ @pepito_garca ↓ ➁ @ldpsincomplejos ↑↑ ➂ @Albert_Rivera ↑↑ ➃ @Cs_Andalucia ↑↑ ➄ @hermanntertsch ↑ ➅ @CristinaSegui_ ↑↑ ➆ @currusquita ↑↑↑↑ ➇ @carmelojorda ↓</t>
  </si>
  <si>
    <t>https://pbs.twimg.com/media/Dsebi8lWsAANkfO.jpg</t>
  </si>
  <si>
    <t>Patxi Lazkao</t>
  </si>
  <si>
    <t>✔Los 1000.000.000 de muertos del comunismo ✔Las pedradas a Albert Rivera en Altsasu ✔Los Españoles no colonizaban, lo que hacían era tener una España más grande ✔El escupitajo a Borrell #Verdadescomopuños</t>
  </si>
  <si>
    <t>Josua Mendez</t>
  </si>
  <si>
    <t>#UGENTE @Albert_Rivera, esta es la situación en la Av Los Poblados. RT @VP_Espana: Venezolanos inmigrantes pasan las noches a las afueras de una comisaría de Madrid para solicitar el asilo temporal. Pedimos a las autoridades competentes y al Presidente @sanchezcastejon prestar la atención debida y respetar sus DD.HH #CrisisHumanitariaVe</t>
  </si>
  <si>
    <t>https://twitter.com/VP_Espana/status/1064983448962678785</t>
  </si>
  <si>
    <t>https://pbs.twimg.com/media/DseUzNhWkAAWB5W.jpg</t>
  </si>
  <si>
    <t>Lazkao, Euskal Herria</t>
  </si>
  <si>
    <t>Lazkaotik mundura! ¡De Lazkao al mundo! 🏡🏡🏡🌍🌎🌏</t>
  </si>
  <si>
    <t>Carrizal, Miranda, Venezuela</t>
  </si>
  <si>
    <t>#Mirandino / #Lidera5 / Coordinador de @ActivateMiranda / “Que reine la libertad. El sol nunca se pone en tan glorioso logro humano” @NelsonMandela</t>
  </si>
  <si>
    <t>Desiderio</t>
  </si>
  <si>
    <t>Kiko Alegret</t>
  </si>
  <si>
    <t>Quienes me seguís sabéis que poca simpatía despierta en mí @Albert_Rivera, pero estos exabruptos de @JoanTarda - y en sede parlamentaria - son inaceptables. Qui ets, @JoanTarda, per atorgar carnets de demòcrata i de feixiste? Vergonya us manca. RT @GuajeSalvaje: Tardà se olvida la medicación, le entra la calentura y llama fascista a Albert Rivera. Fascista y asesina fue ERC durante la Guerra Civil. Fascistas son sus herederos, que acallan a la oposición en el Parlament, y acosan, persiguen y discriminan a los constitucionalistas.</t>
  </si>
  <si>
    <t>Valladolid</t>
  </si>
  <si>
    <t>Técnico de Archivos Licenciado en Filosofía y Letras (Historia Medieval)</t>
  </si>
  <si>
    <t>BCN, 1965. Freelance. gee | consulting</t>
  </si>
  <si>
    <t>El Padre de Brian</t>
  </si>
  <si>
    <t>http://franciscoalegret.wordpress.com/</t>
  </si>
  <si>
    <t>Las 7.30 y Albert Rivera todavía no ha llamado golpista a nadie.</t>
  </si>
  <si>
    <t>al fondo a la izquierda</t>
  </si>
  <si>
    <t>El secreto está en la chepa.</t>
  </si>
  <si>
    <t>Pa_comer</t>
  </si>
  <si>
    <t>Tardá, este oso de Diputado se dirige a @Albert_Rivera y cita nuevamente a Franco, sin venir a cuento. Basta con leer el historial de ERC y buscar cuantos muertos provocaron sus escamots, y ese Companys al que adoran. El número de fusilamientos, unos 8.000, no les parecen pocos. RT @Esquerra_ERC: 🎥 [VÍDEO] @JoanTarda a Albert Rivera: "Cada vez que nos llame a nosotros golpistas, le diremos fascista"</t>
  </si>
  <si>
    <t>https://twitter.com/Esquerra_ERC/status/1064949582600249350</t>
  </si>
  <si>
    <t>Jesuspedreira</t>
  </si>
  <si>
    <t>Generación Enciclopedia Álvarez. Visualizo, participo y no me trago todo lo que leo, veo y escucho.</t>
  </si>
  <si>
    <t>Ordes . A Coruña . España</t>
  </si>
  <si>
    <t>Fon</t>
  </si>
  <si>
    <t>Tardá dejándole las cosas claras al fascista de @Albert_Rivera !</t>
  </si>
  <si>
    <t>- MARINEDA -</t>
  </si>
  <si>
    <t>AHORA SE ENTIENDE PORQUE ALBERT RIVERA TIENE MAS GENTE BLOQUEADA EN TWITTER QUE MILITANTES EL C´s Elecciones andaluzas: así quedaría el parlamento el 2D, según Twitter  vía @expansioncom</t>
  </si>
  <si>
    <t>Galiza - Ourense - A coruña</t>
  </si>
  <si>
    <t>|Galiza Ceive||Nación de naciòns|#RCD lQuen teña honra que nos siga||Anti-madridista|lUD Ourense,voltaremos lUnha cidade,unha ilusión,Ourense Baloncesto|ACB|</t>
  </si>
  <si>
    <t>http://www.expansion.com/economia/politica/2018/11/22/5bf52558e5fdea45258b4575.html</t>
  </si>
  <si>
    <t>📍Si todo te da igual, estás haciendo mal las cuentas.</t>
  </si>
  <si>
    <t>Carles ||*||</t>
  </si>
  <si>
    <t>Cada vez que nos llamas golpistas, @Albert_Rivera, me alejo un poquito más del país en el que me quieres obligar a estar.</t>
  </si>
  <si>
    <t>Catalonia, Spain</t>
  </si>
  <si>
    <t>HispaniaFortius</t>
  </si>
  <si>
    <t>¿Y para cuándo la ilegalización de partidos claramente anticonstitucionales, golpistas y fascistas? Gracioso que @JoanTarda llame fascista a @Albert_Rivera después de haberse mirado al espejo. Espero que a él y a @gabrielrufian les quede poco tiempo en "Madrit" #STOPIndultos</t>
  </si>
  <si>
    <t>El fascismo se cura leyendo y el racismo viajando. Honestidad, Confianza, Respeto. (Carpe Díem)</t>
  </si>
  <si>
    <t>pic.twitter.com/8NJznSu2lp</t>
  </si>
  <si>
    <t>caverna cúbica</t>
  </si>
  <si>
    <t>Sólo ve españoles buenos y malos, ELLOS junto a VOX y PP SON LOS BUENOS, el resto son los malos rojos comunistas. Albert RIVERA, Tan buen político como tenista RT @gerardotc: - Rivera, ¿cómo definirías a Podemos? - Extrema izquierda radical y peligrosa. - ¿Y a VOX? - Yo no soy analista político, yo sólo veo españoles.</t>
  </si>
  <si>
    <t>Pucela</t>
  </si>
  <si>
    <t>Orgulloso de ser ESPAÑOL y Castellano.Liberal https://hispaniafortius.wordpress.com https://gab.ai/HispaniaFortius</t>
  </si>
  <si>
    <t>https://twitter.com/HispaniaFortius</t>
  </si>
  <si>
    <t>Pienso, hablo, escucho, miro, vivo... y pinto 'por amor al arte'</t>
  </si>
  <si>
    <t>http://www.sergiocases-artstudio.com</t>
  </si>
  <si>
    <t>Rafael Fernández</t>
  </si>
  <si>
    <t>#JoanTardáGOLPISTA Vaya pues Joan según tu simplicidad anti democrática yo también soy fascista @JoanTarda @Albert_Rivera #Tabarnia</t>
  </si>
  <si>
    <t>Albert Rivera en VI Escuela de Verano DENAES 2012 ✔️ LaNaciónEsVenezuela,</t>
  </si>
  <si>
    <t xml:space="preserve">Barcelona, España </t>
  </si>
  <si>
    <t>Maraton Bcn -Corriendo por la Fibrosis Quística , Tu Respiras sin pensar , ellos solo piensan en respirar . Maraton Bcn 4h 26'</t>
  </si>
  <si>
    <t>http://runforfq.blogspot.com.es/?m=1</t>
  </si>
  <si>
    <t>https://youtu.be/V9YYQDqha-Q?lji18=2361050308</t>
  </si>
  <si>
    <t>Emilio Jose Rivas G</t>
  </si>
  <si>
    <t>#STOPIndultos @CiudadanosCs Dejen de sacar hashtags sin mirar su propia formación y leerse la Constitución y unas cuantas leyes, ya que su lider, @Albert_Rivera, está doctorando en derecho para no llevarse la lluvia de zascas que se llevan.</t>
  </si>
  <si>
    <t>Si @JustinTrudeau o @EmmanuelMacron conociesen la estrategia de C's respecto a VOX, creo que emitirían un comunicado cada vez que @Albert_Rivera pretende abanderar sus ideas en España. Qué cobarde e indigna del liberalismo que pretendéis liderar es vuestra actitud, @CiudadanosCs. RT @ierrejon: Cuando se trata de partidos xenófobos y retrógados, se achanta y se le quiebra la voz. Menudo "centro" el vuestro, @ignacioaguado</t>
  </si>
  <si>
    <t>https://twitter.com/ierrejon/status/1064612835408470016</t>
  </si>
  <si>
    <t>pic.twitter.com/YyCBcOrJzG</t>
  </si>
  <si>
    <t>jose  luis  suarez</t>
  </si>
  <si>
    <t>Si se puede ......cambiar este país</t>
  </si>
  <si>
    <t>Lucia</t>
  </si>
  <si>
    <t>Ya hacía tiempo que los del “nuevo” PSOE eran amigos de los golpistas; pero, tienes razón @Albert_Rivera este ha sido un paso definitivo que muestra la catadura moral del okupa Sánchez y de su “gobierno bonito”. En manos de quién estamos! 😡😡😡😡 RT @Albert_Rivera: 🏛 PSOE, Podemos y separatistas tumban nuestra iniciativa para impedir que se indulte a los golpistas del procés en caso de que sean condenados. Esto es un antes y un después: el PSOE ha abandonado definitivamente el constitucionalismo. #STOPIndultos</t>
  </si>
  <si>
    <t>Podremos.CAT</t>
  </si>
  <si>
    <t>#BlackFridayIsComing #BlackFridayWeek #BlackFriday 🔴GRATIS Liquidación de stocks. Aprovecha esta promoción inmejorable. Si te llevas a Inés Arrimadas, de regalo Albert Rivera. Oferta sólo válida si resides fuera de Catalunya. Sin sorteos.</t>
  </si>
  <si>
    <t>https://pbs.twimg.com/media/DslP5xoWwAARHGv.jpg</t>
  </si>
  <si>
    <t>Premià de Mar, España</t>
  </si>
  <si>
    <t>Centrado en hoy y en mañana, disfrutando del presente. Y así día a día ;-) 🎗️</t>
  </si>
  <si>
    <t>Con lo que está pasando y, teniendo en cuenta lo que ha dicho la ministra Delgado, me parece que soy de extrema, extrema, extrema, súper extrema derecha😊</t>
  </si>
  <si>
    <t>RufianGenerator 5000</t>
  </si>
  <si>
    <t>Prefieres el pasado falangista de Albert Rivera antes que la pegada del Madrid, pero no, no eres facha.</t>
  </si>
  <si>
    <t>Marc Andreu</t>
  </si>
  <si>
    <t>Holi @Albert_Rivera, qué tal eso de respetar esa Constitución "que nos hemos dado entre todos" cumpliendo con el artículo 24?</t>
  </si>
  <si>
    <t>https://pbs.twimg.com/media/DseYzktWsAUjC6e.jpg</t>
  </si>
  <si>
    <t>Generador automático de tuits de Rufián, y sin cobrar de tus impuestos.</t>
  </si>
  <si>
    <t>Orco</t>
  </si>
  <si>
    <t>L'intelligence est l'échelle qui mesure la sophistication de notre stupidité.</t>
  </si>
  <si>
    <t>Clickbait Científico</t>
  </si>
  <si>
    <t>ENTREVISTA: Albert Rivera ha estado los últimos 7 años aprendiendo sobre FIFA 2012.</t>
  </si>
  <si>
    <t>Más comentados ahora en Derecha/Centro Dcha.: ➀ @Albert_Rivera ↑ ➁ @sanchezcastejon ↓ ➂ @pepito_garca ↑ ➃ @PSOE ↑ ➄ @CiudadanosCs ↓ ➅ @susanadiaz ↓ ➆ @Santi_ABASCAL ↑ ➇ @Nanchinho ↓ ➈ @currusquita ↓ ➉ @PPopular ↓</t>
  </si>
  <si>
    <t>No dejes que la comunidad científica (y menos aún @garirius) te arruine un buen titular 👨‍🔬👩‍🔬</t>
  </si>
  <si>
    <t>Más influyentes ahora en Derecha/Centro Dcha.: ➀ @Albert_Rivera ↑ ➁ @pepito_garca ↑ ➂ @Santi_ABASCAL ↑ ➃ @Nanchinho ↓ ➄ @CiudadanosCs ↓ ➅ @currusquita ↓ ➆ @ldpsincomplejos ↓ ➇ @Cs_Andalucia ↓ ➈ @CristinaSegui_ ↑</t>
  </si>
  <si>
    <t>Llamar "fascista" a @Albert_Rivera hace aparentar a Mussolini y demás fascistas reales como demócratas de centro-derecha. No sé si eres consciente de tu irresponsabilidad o no das para más. Y si no quieres que te llamen "golpista", no haber proclamado ilegalmente un nuevo Estado. RT @JoanTarda: Sr. Rivera, en nombre de miles de militantes @Esquerra_ERC fusilados y de demócratas catalanes y españoles asesinados por criminales golpistas, cada vez que nos diga “golpistas”, desde la tribuna, por autodefensa democrática, le llamaremos “fascista”.</t>
  </si>
  <si>
    <t>https://twitter.com/JoanTarda/status/1064957036784422912
https://youtu.be/EdsKYzBU54g</t>
  </si>
  <si>
    <t>❝Martín, Jr.❞ 🇪🇸</t>
  </si>
  <si>
    <t>🏛👉 Cuando Albert Rivera le preguntó a Sánchez si indultará a los golpistas; se negó a contestar. 🚨 Sus amigos del PSOE han respondido por él: quieren indultarlos. ✋️ #STOPIndultos 🗣 ¡Se deben convocar elecciones!</t>
  </si>
  <si>
    <t>📆 El próximo sábado día 24 te esperamos en #Madrid con @Albert_Rivera y la @ESPCiudadana para alzar la voz contra el gobierno de @sanchezcastejon. 💪 ¡No queremos indultos a golpistas... 🗳 ...queremos #EleccionesYA!</t>
  </si>
  <si>
    <t>pic.twitter.com/V6TTGSxgnu</t>
  </si>
  <si>
    <t>(Una vida de filosofía) . ⛔ #NoMD ⚠</t>
  </si>
  <si>
    <t>Iñaki</t>
  </si>
  <si>
    <t>Albert Rivera es un mentiroso, un cínico, un manipulador, un psicópata. RT @Albert_Rivera: Sánchez no ve rebelión, no ve escupitajos, no ve insultos... solo ve indultos para sus socios separatistas. Vamos a tener que poner el VAR y el ojo de halcón para que se entere de lo que son capaces de hacer sus aliados contra España.</t>
  </si>
  <si>
    <t xml:space="preserve">Madrid </t>
  </si>
  <si>
    <t>Terrícola en la era del moombatoon El ser humano será cooperativo o no será Siento luego existo. Vive y ayuda a vivir.</t>
  </si>
  <si>
    <t>http://elperiodi.co/lkwos4</t>
  </si>
  <si>
    <t>EmilioLópez-Carrasco</t>
  </si>
  <si>
    <t>España, cuarto país del entorno europeo que destina menos PIB a su sanidad  Estaréis orgullosos; @PPopular @PSOE @sanchezcastejon @pablocasado_ @Albert_Rivera @CasaReal Eso sí, NÚMEROS UNO EN PARO, CORRUPCIÓN, EXILIO Y EXPLOTACIÓN LABORAL, POBREZA, etc....</t>
  </si>
  <si>
    <t>https://www.redaccionmedica.com/secciones/sanidad-hoy/espana-cuarto-pais-del-entorno-europeo-que-destina-menos-pib-a-su-sanidad-9439</t>
  </si>
  <si>
    <t>CarlosReguera</t>
  </si>
  <si>
    <t>¿Por qué Albert Rivera no se atreve a decir que Vox es extrema derecha? Twitter analiza los motivos -  Acertada respuesta del Sr Rivera.</t>
  </si>
  <si>
    <t>Barcelona, Catalunya.</t>
  </si>
  <si>
    <t>Periodista&amp;Journalist. Profesor. Freelancer. Int.Fed.Journalists (IFJ). 🌐 Global Goodwill Ambassador 🌐 Embajador Mundial de Buena Voluntad🌐</t>
  </si>
  <si>
    <t>https://www.linkedin.com/profile/view?id=AAIAAANdfwsBHWzN6SyOvYRmAz6mRv1g_h57PSU&amp;trk=nav_responsive_</t>
  </si>
  <si>
    <t>El sabio siempre piensa lo que dice pero no dice todo lo que piensa. Siempre esperamos que algo pase en la vida y lo unico que seguro que pasa es el tiempo.</t>
  </si>
  <si>
    <t>http://carlreguera.blogspot.com.es/</t>
  </si>
  <si>
    <t>Encantador de serps.Observador de Formigues</t>
  </si>
  <si>
    <t>La paciencia con @Albert_Rivera parece agotarse: Primo de Rivera y fascista en solo dos días y a toda pantalla Extendamoslo a su mafiosa organización: G's Goebbelianos Tribunal de Cuentas ¿actuamos o seguimos silbando? Aplicación inmediata ley d partidos #FrancoViveLaLuchaSigue</t>
  </si>
  <si>
    <t>Terrassa, Catalunya</t>
  </si>
  <si>
    <t>Autodidacta, eclectico, librepensador, no compro motos</t>
  </si>
  <si>
    <t>RosaMaria</t>
  </si>
  <si>
    <t>Si la noticia es cierta....estaría bien que los grupos parlamentarios(+Senado)que NO son socios del Gob.@sanchezcastejon..@pablocasado_ @Albert_Rivera etc, pidan explicaciones y una investigación sobre"otra posible malversación FP"y qué empresa va a hacer esa"innecesaria reforma" RT @Pelayo1938: Un millón de € es un pastón!. Qué soltura y galanura las de Sánchez gastando el dinero a manos llenas el dinero de los contribuyentes!. No conozco precedente alguno de algo semejante que se recuerde en la historia de nuestras jefatura del gbno...</t>
  </si>
  <si>
    <t>https://twitter.com/Pelayo1938/status/1064981377056210944
https://twitter.com/okdiario/status/1064963514710794242</t>
  </si>
  <si>
    <t>Aclaración sobre art. #7DNI y admisión Demanda-A.N.Fue otro #FRAUDEJudicial+:Políti/-jueces y Bancos,se quedaron con todo:9.350.000 E. https://gab.ai/RosaMSJ</t>
  </si>
  <si>
    <t>César Waterlord</t>
  </si>
  <si>
    <t>Por favor, una foto de @Albert_Rivera en una granja de pollos en la campaña andaluza</t>
  </si>
  <si>
    <t>Huelva, Spain</t>
  </si>
  <si>
    <t>En 2004 me compré un ordenador con el dinero que ganaba reponiendo agua en un centro comercial y así nació Waterlord, A.K.A. el tío del agua.</t>
  </si>
  <si>
    <t>No te dejes engañar @susanadiaz goberno 3 años con @Albert_Rivera ese partido que ahora muchos llaman de extrema derecha.</t>
  </si>
  <si>
    <t>SabatoFan</t>
  </si>
  <si>
    <t>El epíteto "fascista" hacia @Albert_Rivera dicha por el bobo Tardá está muy devaluado RT @WharfRat_DE: Hemos llegado a tal nivel de desmelene en ese circo pre venezolano que es el Congreso que ya los políticos ni siquiera dicen aquello muy "digno" de "Señora presidenta, exijo que Fulanito retire lo que me ha llamado". Ya da igual. Es un circo, qué más da.</t>
  </si>
  <si>
    <t>https://twitter.com/WharfRat_DE/status/1064983417983565824
https://twitter.com/yosoynaranjito_/status/1064957067264430082</t>
  </si>
  <si>
    <t>Jessica Sofía</t>
  </si>
  <si>
    <t>¿Por qué Albert Rivera no se atreve a decir que Vox es extrema derecha? Twitter analiza los motivos  …</t>
  </si>
  <si>
    <t>I = D + D (Izquierda = Demagogia + Despilfarro)</t>
  </si>
  <si>
    <t>https://www.publico.es/tremending/2018/11/21/por-que-albert-rivera-no-se-atreve-a-decir-que-vox-es-extrema-derecha-twitter-analiza-los-motivos/?utm_source=twitter&amp;utm_medium=social&amp;utm_campaign=publico
http://dlvr.it/Qrq10p</t>
  </si>
  <si>
    <t>Uneg somos todos</t>
  </si>
  <si>
    <t>Que no te engañe el @PSOE @susanadiaz y @sanchezcastejon ellos quisieran gobernar en todas parte con @Albert_Rivera y o con Podemos y @Pablo_Iglesias_</t>
  </si>
  <si>
    <t>Albert Rivera plagiará el tramabus, al que tachaba de espectáculo, para denunciar posibles indultos a presos catalanes del 1-O. Resumiendo, Albert Rivera vendrá a darnos el espectáculo, según su propio estandar.</t>
  </si>
  <si>
    <t>A ver @Albert_Rivera, que pareces tonto. Para un insulto deben coexistir 3 circunstancias : que haya una condena, que se pida, que se otorgue. Hasta hoy no hay ninguna de las tres. A menos que ya exista Pre - crimen y los precox usted está haciendo el ridículo. #STOPIndultos</t>
  </si>
  <si>
    <t>JE</t>
  </si>
  <si>
    <t>Lo que no se ve de España... Así nos va que luego nos queremos ir... Alguna solución a esto? @sanchezcastejon @Albert_Rivera @Pablo_Iglesias_ (Los tiempos de ejecución de becas FPI y proyectos de investigación lo he vivido en persona y es muy triste) RT @CientificoenEsp: Esquema de los tempos de los proyectos de investigación del Ministerio (algo no acaba de cuadrar...).</t>
  </si>
  <si>
    <t>https://twitter.com/CientificoenEsp/status/1064884945783537664</t>
  </si>
  <si>
    <t>https://pbs.twimg.com/media/Dsc7BqhX4AA3xdm.jpg</t>
  </si>
  <si>
    <t>#STOPIndultos @Albert_Rivera @casado @CiudadanosCs @PPopular Dos matices, ¿Ya saben ustedes que van a ser condenados? Esa es la independencia de la justicia que nos ha demostrado el señor @Ignacos y, además, debe ser firmada por el Rey, también saben que el Rey firmara el indulto</t>
  </si>
  <si>
    <t>CsLosLlanos</t>
  </si>
  <si>
    <t>❓ ¿Sabes cuál es la diferencia entre un estadista y un oportunista? 👉 El estadista respeta una sentencia judicial, en cambio un oportunista solo cuenta escaños. 📽 Así lo ha explicado @Albert_Rivera en el @Congreso_Es defendiendo la Ley de Cs de #STOPIndultos</t>
  </si>
  <si>
    <t>pic.twitter.com/CBFHzh8k87</t>
  </si>
  <si>
    <t>Los Llanos de Aridane, España</t>
  </si>
  <si>
    <t>Twitter oficial de Ciudadanos (Cs) Los Llanos de Aridane</t>
  </si>
  <si>
    <t>Heliodoro</t>
  </si>
  <si>
    <t>Lo de Albert Rivera es para mear y no echar gota de tantas lágrimas. Ya decían nuestras madres en Canarias: &lt;&amp;lt;Entre más lloras menos meas&gt;&amp;gt;. Resulta que aunque una pregunta de si él considera a los de VOX...</t>
  </si>
  <si>
    <t>https://www.facebook.com/Heliodororodriguez/posts/10160968988460244</t>
  </si>
  <si>
    <t>Marga Soliño 💚⚪💚</t>
  </si>
  <si>
    <t>No te pierdas a @Albert_Rivera dejando retratado a Pedro @sanchezcastejon👏👏👏 El @PSOE ha dejado claro que no hay hoja de ruta y que solo pueden seguir atrincherados en Moncloa apoyándose en los separatistas, pagando las hipotecas que sea⤵️⤵️</t>
  </si>
  <si>
    <t>http://www.heliodoro.wordpress.com</t>
  </si>
  <si>
    <t>https://youtu.be/D62g8svIjSc</t>
  </si>
  <si>
    <t>Pontevedra, España</t>
  </si>
  <si>
    <t>Quien quiere hacer algo encuentra un medio, quien no quiere hacer nada encuentra excusas. CsPontevedra🍊💪🍊</t>
  </si>
  <si>
    <t>Cs LPGC</t>
  </si>
  <si>
    <t>👉 El PSOE se retrata: vota en contra de que se prohíba el indulto a los soberanistas del 1-O @Albert_Rivera: "convoque #EleccionesYa e inclúyalo en su programa electoral, a ver que piensan los españoles" 🛑 #STOPIndultos 📲</t>
  </si>
  <si>
    <t>https://www.abc.es/espana/abci-psoe-contra-prohibir-indulto-responsables-proces-201811201452_noticia.html</t>
  </si>
  <si>
    <t>pic.twitter.com/ByYSFGHoS4</t>
  </si>
  <si>
    <t>Perfil oficial de Ciudadanos (Cs) de Las Palmas de Gran Canaria</t>
  </si>
  <si>
    <t>¿Por qué Albert Rivera no se atreve a decir que Vox es extrema derecha?  https%3A%2F%%2Ftremending%2F2018%2F11%2F21%2Fpor-que-albert-rivera-no-se-atreve-a-decir-que-vox-es-extrema-derecha-twitter-analiza-los-motivos%2F</t>
  </si>
  <si>
    <t>Eris</t>
  </si>
  <si>
    <t>Parece q @Albert_Rivera " dio en el clavo" la verdad duele @JoanTarda RT @yosoynaranjito_: El abuelo cebolleta Joan Tardà llama a Albert Rivera ‘fascista’ tirando de histrionismo y demagogia. Intentaron subvertir el orden constitucional de manera unilateral, y guste o no guste eso tiene un nombre: ¡Golpistas! #STOPIndultos</t>
  </si>
  <si>
    <t>piensa por ti mismo y deja que los demas gocen del mismo privilegio</t>
  </si>
  <si>
    <t>Peplluís Eras</t>
  </si>
  <si>
    <t>Cada vez que nos diga Golpistas, para vender la idea falsa de que lo somos, cuando siempre hemos pedido y pedido opciones democráticas, y las hemos llevado a cabo, le llamaremos a usted @Albert_Rivera lo que es: FASCISTA! #RiveraFascista #RiveraFeixista</t>
  </si>
  <si>
    <t>Filòleg i Periodista. Dels Castellers de Berga i de la Vella. Del Girona FC i del Barça. Per vèncer cal, anar-hi, anar-hi i anar-hi!</t>
  </si>
  <si>
    <t>Cs El Paso</t>
  </si>
  <si>
    <t>pic.twitter.com/yfb5BAvSXA</t>
  </si>
  <si>
    <t>El Paso, España</t>
  </si>
  <si>
    <t>Twitter oficial de Ciudadanos Cs El Paso</t>
  </si>
  <si>
    <t>El 20-N de Susanna Griso (@susannagriso): entrevista a Rivera (@Albert_Rivera) y conexión al Valle de los Caídos | Vía @En_Blau_es</t>
  </si>
  <si>
    <t>AdriGitaniko</t>
  </si>
  <si>
    <t>I liked a @YouTube video  FASCISTAS contra GOLPISTAS (Albert Rivera - Joan Tardá)</t>
  </si>
  <si>
    <t>http://bit.ly/2FAA24b</t>
  </si>
  <si>
    <t>http://youtu.be/g6iGsNwc2EU?a</t>
  </si>
  <si>
    <t>Sant Andreu de la Barca</t>
  </si>
  <si>
    <t>Futuro miembro de los G.A.R🇪🇸, Guardia Civil💚🇪🇸💚, Don Juan Carlos Víctor Maria Alfonso de Borbón-Dos Sicilias y Borbón💘🇪🇸💘, Don Felipe VI💘🇪🇸💘</t>
  </si>
  <si>
    <t>María Pilar Fernández Perez</t>
  </si>
  <si>
    <t>¿Por qué Albert Rivera no se atreve a decir que Vox es extrema derecha? Twitter analiza los motivos  Compartido desde Discover</t>
  </si>
  <si>
    <t>Roberto Alcazar</t>
  </si>
  <si>
    <t>Dice @JoanTarda a @Albert_Rivera: "Cada vez que nos llaméis GOLPISTAS os llamaremos FASCISTAS" Te voy a contar, Tardá, quién es el FASCISTA: ¡Aquel que se salta Constituciones, Leyes y Sentencias Judiciales, es decir, VOSOTROS! Vosotros sois FASCISTAS y GOLPISTAS, no lo olvides.</t>
  </si>
  <si>
    <t>pic.twitter.com/wvck5O4Hyt</t>
  </si>
  <si>
    <t>No me gustan las injusticias Anti pp anti c's a ti franquista</t>
  </si>
  <si>
    <t>Políticos Podemitas y Secesionistas me BLOQUEAN. ¡Qué poco les gusta a estos FASCISTAS las críticas! Si REBUZNAN, buena señal, voy bien. Seguiremos informando.</t>
  </si>
  <si>
    <t>Albert Rivera en VI Escuela de Verano DENAES 2012 🌏 ORGANIZAR LA VALENTIA,</t>
  </si>
  <si>
    <t>https://youtu.be/V9YYQDqha-Q?qfm38=8009773000</t>
  </si>
  <si>
    <t>Olga Palahi 🎗</t>
  </si>
  <si>
    <t>Calella de Palafrugell</t>
  </si>
  <si>
    <t>Professora, Economista i Activista. Tocada per la tramuntana. Escric a @elmatidigital. Secretària Org. Dona @ercpalafrugell. Presidenta de @motards11S.</t>
  </si>
  <si>
    <t>Fran Barros</t>
  </si>
  <si>
    <t>"Las dictaduras tienen cierta paz y orden" Albert Rivera. ¿Demócrata o fascista? RT @NievesG80421106: Qué te parece la dictadura ? Toni el mal actor?porque das mucha pena al ver que tuviste que bajarte los pantalones en la política, y todo por dinero, y sillón por lo pésimo actor que eres"pena medas "que seas tan mediocre y basura como persona, y todo por dinero"🌹✊ dais asco 🌹</t>
  </si>
  <si>
    <t>https://twitter.com/NievesG80421106/status/1065309820234940416</t>
  </si>
  <si>
    <t>El 20-N de Susanna Griso (@susannagriso): entrevista a Rivera (@Albert_Rivera) i connexió al Valle de los Caídos | Via @en_blau</t>
  </si>
  <si>
    <t>pic.twitter.com/M3rR3IPqUq</t>
  </si>
  <si>
    <t>http://bit.ly/2FxA1hy</t>
  </si>
  <si>
    <t>pola de lena, Asturias</t>
  </si>
  <si>
    <t>Asturiano, ferroviario, ugetista, socialista. Dueño de mi destino y compañero en el camino de mis amigos. Y enamorado hasta las trancas.</t>
  </si>
  <si>
    <t>Última hora política i econòmica de Catalunya, Espanya i internacional. Creat per @joseantich. FB: http://facebook.com/elnacionalcat Telegram: https://t.me/Elnacionalcat</t>
  </si>
  <si>
    <t>http://www.elnacional.cat</t>
  </si>
  <si>
    <t>Cs Canarias 🇮🇨</t>
  </si>
  <si>
    <t>😠 ¿Sabes la diferencia entre un estadista y un oportunista? 👉 El estadista respeta una sentencia judicial, en cambio un oportunista solo cuenta escaños. 📽 Así lo ha explicado @Albert_Rivera en el @Congreso_Es #StopIndultos</t>
  </si>
  <si>
    <t>pic.twitter.com/cRaythcaA4</t>
  </si>
  <si>
    <t>Frank Mercader🎗</t>
  </si>
  <si>
    <t>Islas Canarias 🇮🇨</t>
  </si>
  <si>
    <t>Y si hacemos lo mismo con la cara de Albert Rivera, con el eslogan “NO A LAS DROGAS” ... Que us sembla @junqueras @KRLS ??</t>
  </si>
  <si>
    <t>Twitter Oficial de Ciudadanos (Cs) en Canarias 🇮🇨</t>
  </si>
  <si>
    <t>https://pbs.twimg.com/media/DskMUAIXoAEt7Pr.jpg</t>
  </si>
  <si>
    <t>Actor de teatro, cine, televisión y actor de doblaje. Tengo segunda residencia en: Carrer Enric Millo, 1. Sant Esteve de les Roures. 🎗@CridaNacional</t>
  </si>
  <si>
    <t>Angel Peña</t>
  </si>
  <si>
    <t>Ya era hora @Albert_Rivera. Queremos un Catalán y Español como presidente. Estava entre PP, C`s y VOX. DI LAS VERDADES Y TIENES MI VOTO.</t>
  </si>
  <si>
    <t>Perico, Español, Tabarnes, Peruano(por mi esposa), Catalán(de momento), en este orden , Informático y muchas cosas mas. ⚔️🇪🇸🇵🇪</t>
  </si>
  <si>
    <t>http://www.digitalangel.es</t>
  </si>
  <si>
    <t>😠 ¿Sabes la diferencia entre un estadista y un oportunista? 👉 El estadista respeta una sentencia judicial, en cambio un oportunista solo cuenta escaños. 📽 Así lo ha explicado @Albert_Rivera en el @Congreso_Es</t>
  </si>
  <si>
    <t>pic.twitter.com/9ln5uk78hs</t>
  </si>
  <si>
    <t>El apuro de Rivera cuando le preguntan si Vox es extrema derecha</t>
  </si>
  <si>
    <t>Kas</t>
  </si>
  <si>
    <t>El fascista @albert_rivera blanqueando el golpe fascista del franquista #Tejero en el lugar que violentó el #23F igualando con los independentistas catalanes. Muy propio del día #20Noviembre</t>
  </si>
  <si>
    <t>Tersites</t>
  </si>
  <si>
    <t>Qué callados están @Albert_Rivera y @pablocasado_ cuando en estos días se hace constante apología del terrorismo fascista. Parece que para algunos hay víctimas de diferentes clases. @PPopular @CiudadanosCs #EnterrarElFranquismo</t>
  </si>
  <si>
    <t>Earth</t>
  </si>
  <si>
    <t>Diciéndole a los poderosos lo que no quieren oír desde el siglo VIII a.C.</t>
  </si>
  <si>
    <t>QVEF Aragón</t>
  </si>
  <si>
    <t>Vaya, ahora resulta que @Albert_Rivera no es constitucionalista porque pretende saltarse el artículo 122 de la Constitución, que explica cómo se eligen los miembros del CGPJ. RT @Albert_Rivera: Pido a Sánchez y Casado que tiren a la basura su pacto de la vergüenza para repartirse a los jueces, dejen de tomar a los españoles por tontos y apoyen nuestra reforma para que a los vocales del CGPJ los elijan los jueces y no los políticos. #MarchenaNOESP</t>
  </si>
  <si>
    <t>https://twitter.com/Albert_Rivera/status/1064833864089174018</t>
  </si>
  <si>
    <t>pic.twitter.com/BZrPnR06KV</t>
  </si>
  <si>
    <t>Grande Marfacha</t>
  </si>
  <si>
    <t>Hola, soy Albert Rivera y he dado la consigna de que nadie raje de Vox, porque igual los necesitamos en Andalucía. El fascismo sensato.</t>
  </si>
  <si>
    <t>La evolución ya no funciona. La revolución ha muerto. Sólo queda un camino: involución. Vota QVEF. La Tierra es plana.</t>
  </si>
  <si>
    <t>En las pelotillas del ombligo</t>
  </si>
  <si>
    <t>El gato bueno es el gato muerto. PP no. Gatos NOO. Curas NOOO. Non son jhuapo nin teño pelaso.</t>
  </si>
  <si>
    <t>Ciudadanos Pescados</t>
  </si>
  <si>
    <t>Albert Rivera retuiteando esto: Y bueno me doy por aludido. Mi familia está en Venezuela, Francia, Bélgica por los franquistas. Mi abuela se crió sin padre ni madre por los franquistas pasando mucha hambre. No olvidamos, no perdonamos. RT @perezreverte: España, 2018. Leo en Twitter a un pazguato, al que por el perfil supongo veinteañero, decir a otro al que imagino de edad parecida: "Vosotros fusilasteis a media España"... Ese "vosotros" es nuestro veneno. Sólo cultura y educación escolar serían antídotos. Así que vamos listos.</t>
  </si>
  <si>
    <t>https://twitter.com/perezreverte/status/1065322533396848641</t>
  </si>
  <si>
    <t>¿El centro?</t>
  </si>
  <si>
    <t>Ni de izquierdas ni de derechas... IBEX 35.</t>
  </si>
  <si>
    <t>https://www.facebook.com/pages/Ciudadanos-Pescados/921115804614055?fref=nf</t>
  </si>
  <si>
    <t>.@Albert_Rivera: "A @sanchezcastejon le vale todo con tal de estar un cuarto de hora más en La Moncloa". #STOPIndultos #EleccionesYa RT @CiudadanosCs: 🤦🏻‍♀️ Pedro Sánchez pacta a espaldas de los españoles. 👉 Negoció el #PactoDeLosIndultos con separatistas a cambio de que apoyaran sus presupuestos. 🏛🍊 Cs defiende hoy en el Congreso una propuesta para impedirlo #STOPIndultos</t>
  </si>
  <si>
    <t>Fuster Arenas de mar</t>
  </si>
  <si>
    <t>Albert Rivera evita calificar a VOX como un partido de extrema derecha</t>
  </si>
  <si>
    <t>https://twitter.com/CiudadanosCs/status/1064926347028557826</t>
  </si>
  <si>
    <t>https://pbs.twimg.com/media/DrAEiU1X4AA2_RC.jpg</t>
  </si>
  <si>
    <t>https://www.ecorepublicano.es/2018/11/albert-rivera-evita-calificar-vox-como.html</t>
  </si>
  <si>
    <t>Ciudadanos Cádiz Provincia</t>
  </si>
  <si>
    <t>🎙@SergioRomeroJ “@Albert_Rivera es el único que está defendiendo la igualdad de todos los españoles en #España mientras el partido socialista se pliega a los nacionales”. #AhoraSíCs</t>
  </si>
  <si>
    <t>https://pbs.twimg.com/media/DseOcRMWwAE14sN.jpg</t>
  </si>
  <si>
    <t>Perfil oficial de @CiudadanosCs en la provincia de #Cádiz. También estamos en Facebook 📲🍊http://facebook.com/CiudadanosCadizProvincia</t>
  </si>
  <si>
    <t>http://cadiz.ciudadanos-cs.org</t>
  </si>
  <si>
    <t>Missfizzy</t>
  </si>
  <si>
    <t>No sé si @Albert_Rivera es fascista o no, pero impresentable un rato largo.</t>
  </si>
  <si>
    <t>Jacko Cabrera</t>
  </si>
  <si>
    <t>Hola Señor @Albert_Rivera, soy canario, estoy lejos de preocuparme por el tema de los independentistas en prisión. Acabo de escuchar sus palabras en el Parlamento de TODOS y creo que es usted un mierda.</t>
  </si>
  <si>
    <t>maspalomas</t>
  </si>
  <si>
    <t>Objetor profesional, nada que declarar...</t>
  </si>
  <si>
    <t>Gonzalo</t>
  </si>
  <si>
    <t>Pero @JoanTarda , si eres un golpista, cuyos acólitos perpetran actos fascistas, cómo quieres que te llamen. Cómo se ha puesto el antropoide con @Albert_Rivera @hermanntertsch</t>
  </si>
  <si>
    <t>Dance Me To The End Of Love</t>
  </si>
  <si>
    <t>teachingestoy</t>
  </si>
  <si>
    <t>De verdad, qué cosas les pedís a Pablo Casado y a Albert Rivera!!! Condenar el fascismo, el intento de golpe de estado de Tejero y compañía, los cuarenta años de dictadura nazi de Franco.... Ni que fueran demócratas de verdad!!!!</t>
  </si>
  <si>
    <t>Siempre de viaje...buscando...¿qué? Profesor de secundaria, yo aporto, ¿y tu què?</t>
  </si>
  <si>
    <t>http://myreverseblog.wordpress.com</t>
  </si>
  <si>
    <t>Erik36nv🇪🇸</t>
  </si>
  <si>
    <t>A Joan Tardá le pediría que abriera un libro de historia y que aprendiera lo que es el fascismo, igual si lo hace, no vuelve llamar fascista a @Albert_Rivera</t>
  </si>
  <si>
    <t>Naturaleza y Real Madrid mi vida. José Antonio Primo De Rivera como ejemplo a seguir ✋🏼🇪🇸 ARRIBA ESPAÑA 🇪🇸✋🏼 #NoSurrender #QueVuelvaFondoSur</t>
  </si>
  <si>
    <t>#STOPIndultos Anda q @Albert_Rivera comparar a @JoanTarda y todo l sucedido con Tejero..vamos q lo mismo es una cosa q otra.Yo pediría los indultos para todos,no es lo mismo levantarse en armas q pacíficamente</t>
  </si>
  <si>
    <t>Jubeir Cristina</t>
  </si>
  <si>
    <t>MÁXIMA DIFUSIÓN! @ahorapodemos @Irene_Montero_ me vas a denunciar por ésto? @Pablo_Iglesias_ @sanchezcastejon tus amigos @okdiario @elmundoes @Albert_Rivera @abc_es @ElCascabelTRECE @Santi_ABASCAL @pablocasado_ 👎 @MonederoJC @pnique Barrio Salamanca @TRECEAlDia @EspejoPublico</t>
  </si>
  <si>
    <t>pic.twitter.com/ee7D3q2jfK</t>
  </si>
  <si>
    <t>Isma</t>
  </si>
  <si>
    <t>Los triunfitos intentando “generar” contenido son como Albert Rivera intentando no ser un facha. #OT18Gala9</t>
  </si>
  <si>
    <t>@DIKIssTV @DMAX_es @CineTRECEtv @ELCadcabelTRECE @NatGeoEsp @abc_es @TDTNeox @AdelAljubeir @CanaldeHistoria @Frank_Cuesta (TORPE CON TECLADO, sorry)</t>
  </si>
  <si>
    <t>Conservar refrigerado (entre 0° y 14°C). Lote: L240484. Teatrero Anónimo / La mitad de @perrysistersdjs / Soy Vania / Soy Warhol / Colaborando @enplatea</t>
  </si>
  <si>
    <t>http://enplatea.com/index.php?s=Isma+lomana&amp;boton_submit.x=0&amp;boton_submit.y=0</t>
  </si>
  <si>
    <t>De castro</t>
  </si>
  <si>
    <t>El Nazis Tarda llamando Fascista a @Albert_Rivera , el mundo al reves ajajajajjajaaa. Golpistas a prision.</t>
  </si>
  <si>
    <t>EXMILITAR DE INFANTERIA DE MARINA.ESPAÑOL, SOCIALDEMOCRATA.Nieto e hijo de presos y perseguidos por el franquismo.</t>
  </si>
  <si>
    <t>Daniel Ramírez</t>
  </si>
  <si>
    <t>.@JoanTarda inaugura el "día de la bestia": "@Albert_Rivera, cada vez que nos llame golpistas le diré fascista... ¡Fascista!". La crónica en @elespanolcom</t>
  </si>
  <si>
    <t>https://www.elespanol.com/espana/politica/20181120/tarda-inaugura-bestia-rivera-golpistas-fascista-fascista/354715638_0.html</t>
  </si>
  <si>
    <t>Historia y Evolución</t>
  </si>
  <si>
    <t>Albert Rivera y Manuel Valls entran en crisis. Valls quiere ponerle cornamenta con el PSC</t>
  </si>
  <si>
    <t>Madrid-Pamplona</t>
  </si>
  <si>
    <t>Periodista en @elespanolcom . Contando historias. Cada mañana sale el sol. Ojos abiertos, hacia dentro y hacia fuera.Encuéntrame en daniel.ramirez@elespanol.com</t>
  </si>
  <si>
    <t>http://www.elespanol.com/daniel_ramirez/</t>
  </si>
  <si>
    <t>http://dlvr.it/Qrpf6W</t>
  </si>
  <si>
    <t>https://pbs.twimg.com/media/DskATkhU8AAs8Kq.jpg</t>
  </si>
  <si>
    <t>Manuela Cañadas</t>
  </si>
  <si>
    <t>¿Estará adecuando la Moncloa para @Santi_ABASCAL @pablocasado_ y @Albert_Rivera ??? 🤔🤔🤔</t>
  </si>
  <si>
    <t>de la Democracia Orgánica</t>
  </si>
  <si>
    <t>http://historiademorganica.blogspot.com.es/</t>
  </si>
  <si>
    <t>https://okdiario.com/espana/2018/11/20/sanchez-gasta-cerca-millon-euros-poner-punto-luz-calefaccion-moncloa-3372360?utm_campaign=ok&amp;utm_medium=Social&amp;utm_source=Facebook#Echobox=1542741985</t>
  </si>
  <si>
    <t>info Gianni Infantino</t>
  </si>
  <si>
    <t>Xi Jinping Freidrich Merz Pedro Sanchez Albert Rivera Margrethe Vestager Theresa May Justin Trudeau Donald Trump Marco Rubio Ivan Duque Jair Bolsonaro Mauricio Macri Sebastián Piñera Ruth Davidson Gianni Infantino Jose Mourinho Maurizio Sarri Thomas Tuchel</t>
  </si>
  <si>
    <t>Lo imposible es lo que no intentas! Presidenta de Convivencia Balear @ConvivenciaBal</t>
  </si>
  <si>
    <t>News and facts about the President of FIFA</t>
  </si>
  <si>
    <t>sapabla</t>
  </si>
  <si>
    <t>🗣️ @Albert_Rivera acusa a @sanchezcastejon de haber "perdido el respeto" a los españoles🇪🇦 📰Lee la noticia al completo en Canarias en Hora👇</t>
  </si>
  <si>
    <t>http://canariasenhora.com/#!/rivera-acusa-a-sanchez-de-haber-perdido-el-respeto-a-los-espanoles</t>
  </si>
  <si>
    <t>Licenciado en Ciencias de la Información.Técnico administración local, experto en movimientos sociales, cultura populat, nueva ciudadania(inmigración).</t>
  </si>
  <si>
    <t>http://www.convivenciaysolidaridad.blogspot.com</t>
  </si>
  <si>
    <t>Albert#FreedomDemocracy</t>
  </si>
  <si>
    <t>Yo no esperé a que @Albert_Rivera nos llamara Golpistas para referirme a él como lo que es. Y es un...... Pues eso #NiunPasEnrere</t>
  </si>
  <si>
    <t>#milmillonsdelaçosgrocs #niunpasenrere #cridanacional http://consell.republicat.cat</t>
  </si>
  <si>
    <t>Paco Vega</t>
  </si>
  <si>
    <t>Qué raro: Albert Rivera no sabe quién es VOX pero tiene a medio Twitter bloqueado, todos de  es analista político, es un fantasma político.</t>
  </si>
  <si>
    <t>😠 Es inmoral el mensaje que Sánchez lanza a la democracia por mantenerse 15 minutos más en La Moncloa. 👉🏻 Nosotros decimos SÍ a la justicia; NO a los indultos. #STOPIndultos 📽️ Así de claro lo ha dicho hoy @Albert_Rivera</t>
  </si>
  <si>
    <t>http://izquierdas.No</t>
  </si>
  <si>
    <t>pic.twitter.com/irRQlwKg8N</t>
  </si>
  <si>
    <t>Malafollaland</t>
  </si>
  <si>
    <t>"Si salimos, llegamos; si llegamos entramos; si entramos triunfamos" Ateo, republicano de izquierdas, retornado, psicoterapeuta, doctor en salud.</t>
  </si>
  <si>
    <t>Esparroquí 💜🎗💜</t>
  </si>
  <si>
    <t>Albert Rivera y los suyos se cierran en banda en varias entrevistas para no calificar a Vox de Extrema Derecha. Pero en el Senado hoy, con el PP, se negó a condenar el Franquismo sin complejos y no hay que olvidarse de que abandonaron el Parlament por lo mismo. ¿Fascistas?¡NOOO!</t>
  </si>
  <si>
    <t>Más comentados ahora en Derecha/Centro Dcha.: ➀ @Albert_Rivera ↑ ➁ @sanchezcastejon ↑ ➂ @pepito_garca ↓ ➃ @CiudadanosCs ↑ ➄ @PSOE ↑ ➅ @susanadiaz ↑ ➆ @Nanchinho ↑ ➇ @currusquita ↓ ➈ @JuanMarin_Cs ↑ ➉ @ldpsincomplejos ↓</t>
  </si>
  <si>
    <t>Resististán</t>
  </si>
  <si>
    <t>Pienso con mi Teclado, sin Filtros, con Criterios! Quien siembra miseria, no es el que siempre recoge su cólera! Creador de http://Casos-Aislados.com</t>
  </si>
  <si>
    <t>http://www.digo-yo.es/author/esparroqui/</t>
  </si>
  <si>
    <t>Praxedes Tielve Cedi</t>
  </si>
  <si>
    <t>Albert Rivera, incapaz de definir a Vox como extrema derecha</t>
  </si>
  <si>
    <t>Almirante 𝔅𝔩𝔞𝔰 𝔡𝔢 𝔏𝔢𝔷𝔬 🇪🇸</t>
  </si>
  <si>
    <t>Llamar FASCISTA a alguien en este país es un DELITO. Así de simple, por lo que Albert Rivera @Albert_Rivera debería de demandarle. RT @GuajeSalvaje: Tardà se olvida la medicación, le entra la calentura y llama fascista a Albert Rivera. Fascista y asesina fue ERC durante la Guerra Civil. Fascistas son sus herederos, que acallan a la oposición en el Parlament, y acosan, persiguen y discriminan a los constitucionalistas.</t>
  </si>
  <si>
    <t>Comunidad Valenciana, España</t>
  </si>
  <si>
    <t>"Dile a mis hijos que morí como un buen vasco defendiendo la integridad de España y del Imperio" #BlasdeLezo #Tabarnia #YoSoyLlarena #JUSAPOL</t>
  </si>
  <si>
    <t>http://tabarnia.es</t>
  </si>
  <si>
    <t>Carme Pàmies Pàmies</t>
  </si>
  <si>
    <t>@Albert_Rivera @InesArrimadas @pablocasado_ Metro de Valencia, España 2018. Esto es una "bomba" que al final os "explotara" en la cara. (Bomba y explotara, es en sentido figurado, q se os tiene q explicar todo como a parvulitos)</t>
  </si>
  <si>
    <t>https://m.facebook.com/story.php?story_fbid=1961280627509337&amp;id=1826079467696121</t>
  </si>
  <si>
    <t>JesúsSantosRubio🔻 ‏</t>
  </si>
  <si>
    <t>Albert Rivera continua preguntándose porqué le llaman facha... RT @eldiarioes: ÚLTIMA HORA | PP y Ciudadanos se abstienen en la condena del Senado al franquismo</t>
  </si>
  <si>
    <t>Independentista, inquieta, cridanera, castellera i penso que...bona persona, al menys m'hi esforço cada dia.</t>
  </si>
  <si>
    <t>https://castellersdesparreguera.cat</t>
  </si>
  <si>
    <t>La Rioja - Barcelona</t>
  </si>
  <si>
    <t>Préjano, La Rioja 🍇 - Ciudad de México Periodismo Político Internacional | UPF - BSM Política - Periodismo</t>
  </si>
  <si>
    <t>Más influyentes ahora en Derecha/Centro Dcha.: ➀ @Albert_Rivera ↓ ➁ @pepito_garca ↓ ➂ @CiudadanosCs ↑ ➃ @Nanchinho ↑ ➄ @currusquita ↓ ➅ @ldpsincomplejos ↓ ➆ @Santi_ABASCAL ↓ ➇ @PPCatalunya ↑ ➈ @Cs_Andalucia ↓</t>
  </si>
  <si>
    <t>ESTO ES UNA VERGUENZA DEL @PPopular @PSOE Y @ahorapodemos Sn dudas @Albert_Rivera e @InesArrimadas PESE A SER JOVENES MUESTRAN NO SER CORRUPTOS Y AUN CON SU JUVENTUD PUEDEN ELIMINAR LA CORRUPCION @sanchezcastejon @GirautaOficial @susanadiaz @JLambanM @RevillaMiguelA @pepeonet RT @jazarzalejos: Lo que procede es que Pablo Casado pida la dimisión de Cosidó y declare perdida su confianza en Catalá. Por una cuestión de dignidad. El acuerdo sobre el CGPJ debe quedar rescindido tras la ejemplar renuncia de Marchena a presidirlo.</t>
  </si>
  <si>
    <t>https://twitter.com/jazarzalejos/status/1064784344080879616</t>
  </si>
  <si>
    <t>VTC Profesional</t>
  </si>
  <si>
    <t>Aquí nuestros amigos taxistas amenazando al gobierno hola,@abalosmeco @PSOE @PSOEMadridAyto @ManuelaCarmena @Albert_Rivera @ppmadrid @unautovtc @pablocasado_ @PSOE @psoe_m RT @404comunicacion: 📹TAXI | Ahora mismo en el Pleno se convalida el Real Decreto que regulará las VTC pero se tramitará como Proyecto de Ley. 📣La gente del taxi lo celebra a las puertas del Congreso👇 #decretoTAXIsi</t>
  </si>
  <si>
    <t>https://twitter.com/404comunicacion/status/1055417316366782464</t>
  </si>
  <si>
    <t>pic.twitter.com/amwP3yHPhF</t>
  </si>
  <si>
    <t>Sol, Madrid</t>
  </si>
  <si>
    <t>A ver @Albert_Rivera, criatura, para un indulto se necesitan al menos dos cosas, una sentencia firme y que los condenados lo pidan...Como no se dan ninguna de las dos, la matraca de #STOPIndultos es solo tocar las pelotas</t>
  </si>
  <si>
    <t>Miguel Guerrero</t>
  </si>
  <si>
    <t>Ciudad del Betis</t>
  </si>
  <si>
    <t>En este campo estuvo el mar, alguna vez volverá.</t>
  </si>
  <si>
    <t>🏛👉 Cuando @Albert_Rivera le preguntó a Sánchez si indultará a los golpistas, se negó a contestar. 🚨 Sus amigos del PSOE han respondido por él: quieren indultarlos. ✋ #STOPIndultos 🗣 ¡Basta de gobernar para mantener el poder!</t>
  </si>
  <si>
    <t>pic.twitter.com/au3aDoqDk3</t>
  </si>
  <si>
    <t xml:space="preserve">José Ramón Torices </t>
  </si>
  <si>
    <t>O @Albert_Rivera no sabe la diferencia entre estar a favor de un referéndum y estar a favor de la independencia, o lo sabe pero tiene la cara más dura que la rodilla de una cabra. En ambos casos sale mal parado.</t>
  </si>
  <si>
    <t>Granada, Andalucía</t>
  </si>
  <si>
    <t>PhD Student in Philosophy</t>
  </si>
  <si>
    <t>https://joseramontorices.wordpress.com</t>
  </si>
  <si>
    <t>ALE</t>
  </si>
  <si>
    <t>El indulto es insulto. #ELINDULTOESINSULTO @sanchezcastejon @Albert_Rivera @pablocasado_ @ahorapodemos</t>
  </si>
  <si>
    <t xml:space="preserve">Sevilla, Andalucía, España. </t>
  </si>
  <si>
    <t>Historia, Universidad de Sevilla.</t>
  </si>
  <si>
    <t>http://instagram.com/alebarfou/</t>
  </si>
  <si>
    <t>PJT Alpha</t>
  </si>
  <si>
    <t>- ERC escupe a un ministro del gobierno... - ya pero... - algo que añadir? - es que Albert Rivera... Siempre que se demuestra lo fascistas fachas y antidemocratas que sois teneis que meter a Rivera aunque no tenga nada que ver? Ya hay que ser imbecil colega RT @XarnegoSedicios: Albert Rivera nos ha llamado golpistas, proetarras, populistas, supremacistas, racistas, extrema izquierda, secesionistas, etc; pero mira, a VOX no lo va a definir, que no es analista político. Menuda ameba de mierda.</t>
  </si>
  <si>
    <t>https://twitter.com/XarnegoSedicios/status/1065228857148678144</t>
  </si>
  <si>
    <t>Rmed Rocket</t>
  </si>
  <si>
    <t>Support for @Project_Eternum, Youtuber y amante de los videojuegos. Plata I Nick: RMD R Alpha</t>
  </si>
  <si>
    <t>https://www.youtube.com/channel/UCGVw_4aBM-_uytH3VWjwyag</t>
  </si>
  <si>
    <t>José Manuel Villegas</t>
  </si>
  <si>
    <t>📽️ Así de claro lo ha dicho hoy @Albert_Rivera: "Nosotros decimos SÍ a la justicia; NO a los indultos". Es inmoral el mensaje que Sánchez lanza a la democracia por mantenerse 15 minutos más en Moncloa. #STOPIndultos</t>
  </si>
  <si>
    <t>pic.twitter.com/ewMItNL4Rw</t>
  </si>
  <si>
    <t>Este es el perfil de un ciudadano progresista y no nacionalista. Diputado de Cs en el Congreso de los Diputados</t>
  </si>
  <si>
    <t>🔴🌹 @susanadiaz: "Hemos ganado por derecho propio que nuestras elecciones son para hablar de #Andalucía. Que lo escuchen @Albert_Rivera y @pablocasado_. Solo les interesa #Andalucía para bloquearnos, quieren frenar la voz de esta tierra" #MásAndalucía #MásHuelva</t>
  </si>
  <si>
    <t>https://pbs.twimg.com/media/DseFE7fWoAIOdNk.jpg</t>
  </si>
  <si>
    <t>Paula</t>
  </si>
  <si>
    <t>A Albert Rivera no le gusta esto. #OT18Gala9 #OTDirecto21NOV</t>
  </si>
  <si>
    <t>#España @Albert_Rivera: 'Sánchez, Iglesias y Junqueras cambian indultos por escaños y eso es inmoral' @CiudadanosCs</t>
  </si>
  <si>
    <t>http://www.lacerca.com/noticias/espana/rivera-sanchez-iglesias-junqueras-cambian-indultos-escanos-inmoral-445811-1.html</t>
  </si>
  <si>
    <t>Lesbiana, feminista y Atea. Uso Twitter para expresar mis ideas y opiniones, si esperas q te cuente mi vida personal has visitado el perfil equivocado.</t>
  </si>
  <si>
    <t>Rosa María Artal💜</t>
  </si>
  <si>
    <t>Pablo Casado y su partido PP, Albert Rivera y Ciudadanos evitar romper con el franquismo. RT @gsemprunmdg: EL PESEBRE 22N #FelizJueves #comerpescado #CaminoDeLaRepública El FMI #Portada #Portadas #EnPortada</t>
  </si>
  <si>
    <t>https://twitter.com/gsemprunmdg/status/1065362622613196800</t>
  </si>
  <si>
    <t>https://pbs.twimg.com/media/DsjtpDGXcAI-lxT.jpg</t>
  </si>
  <si>
    <t>Luis San José 🇪🇸🇪🇺</t>
  </si>
  <si>
    <t>A los actos hay que llamarlos por su nombre y no tener miedo por ello. ¡Bravo @Albert_Rivera ! #STOPindultos</t>
  </si>
  <si>
    <t>Periodista, escritora, europea, inconformista, tenaz, ciudadana del siglo XXI. Coordinadora de Reacciona. Columnista de http://eldiario.es</t>
  </si>
  <si>
    <t>http://rosamariaartal.wordpress.com/</t>
  </si>
  <si>
    <t>No desprecies la edad. El conocimiento se puede encontrar por muchos cauces pero la sabiduría, casi siempre, se resguarda en ella.</t>
  </si>
  <si>
    <t>El PSOE defiende los indultos a golpistas rechazando una moción de Ciudadanos. @Albert_Rivera avisa a los socialistas: “Con su voto en contra, el 'sanchismo' crea definitivamente un antes y un después en la historia del PSOE”. #STOPIndultos</t>
  </si>
  <si>
    <t>https://okdiario.com/espana/2018/11/20/psoe-defiende-indultos-golpistas-rechazando-mocion-ciudadanos-congreso-3373209</t>
  </si>
  <si>
    <t>Cs Asturias</t>
  </si>
  <si>
    <t>📽️ @Albert_Rivera "Los tres motivos por los que se puede indultar: amigo del presidente; si sabes algún marrón del presidente o si necesitas sus escaños. Escojan entre ser constitucionalistas y mantener la decencia o no volver a mirarse al espejo de la democracia" #STOPIndultos</t>
  </si>
  <si>
    <t>Pedro J. Abelenda</t>
  </si>
  <si>
    <t>La víspera Tardà había llamado fascista siete veces a Albert Rivera y los socialistas entonces se rieron por lo bajo</t>
  </si>
  <si>
    <t>pic.twitter.com/uFi9vTiMl1</t>
  </si>
  <si>
    <t>Perfil oficial de Ciudadanos Asturias sede.asturias@ciudadanos-cs.org</t>
  </si>
  <si>
    <t>Abogado-Habilitado de Clases Pasivas de Málaga, Abelenda Asesores, S.L</t>
  </si>
  <si>
    <t>deadpool</t>
  </si>
  <si>
    <t>"Ahora resulta que somos fachas" Don Albert Rivera RT @ElHuffPost: ÚLTIMA HORA: El Senado condena al franquismo con la abstención del PP, Ciudadanos, UPN y Foro Asturias</t>
  </si>
  <si>
    <t>El Independiente</t>
  </si>
  <si>
    <t>🔴 El portavoz de @Esquerra_ERC ha llamado “fascista” al líder de Ciudadanos, @Albert_Rivera, durante el debate de una moción del grupo naranja para exigir al Gobierno que aclare ya si piensa o no indultar a los presos del ‘procés’ si son condenados.</t>
  </si>
  <si>
    <t>https://www.elindependiente.com/politica/2018/11/20/tarda-rivera-cada-vez-nos-llame-golpistas-le-llamaremos-fascista/?utm_source=share_buttons&amp;utm_medium=twitter&amp;utm_campaign=social_share2</t>
  </si>
  <si>
    <t>#FREEYUYEE ⚜ 72 ⚜ Madrid🖊️</t>
  </si>
  <si>
    <t>#ElIndependiente, un medio ideado, creado y controlado por periodistas. Dirigido por @garcia_abadillo. También http://facebook.com/indpcom #SomosIndependientes</t>
  </si>
  <si>
    <t>http://www.elindependiente.com</t>
  </si>
  <si>
    <t>tina</t>
  </si>
  <si>
    <t>Miki se cree Albert Rivera, lider del movimiento feminista</t>
  </si>
  <si>
    <t>📽 @Albert_Rivera "Los indultos son inmorales. Hay que escuchar y respetar a la justicia" #STOPIndultos</t>
  </si>
  <si>
    <t>no me cotillees, si no soy interesante</t>
  </si>
  <si>
    <t>pic.twitter.com/PGZHFTYg3R</t>
  </si>
  <si>
    <t>transabolas</t>
  </si>
  <si>
    <t>Ya me jodería estar en el mismo bando dialéctico que Albert Rivera, Alejo Vidal-Quadras, la Glas, Torbe y cía.</t>
  </si>
  <si>
    <t>somos pro-derechos y pro-sex: por el derecho a no tener que vender nuestra sexualidad. transfemeninas por la abolición</t>
  </si>
  <si>
    <t>Juanan</t>
  </si>
  <si>
    <t>🔶️.@Albert_Rivera : Calvo Sotelo recurrió la sentencia de los golpistas de febrero del 81 porque le parecía poca la condena. No los indultó.🏛 ¿Ustedes hubieran indultado a Tejero? Sí o no.🥊 Nosotros NO #STOPIndultos</t>
  </si>
  <si>
    <t>Ilusionado con C's y afiliado. Profesionalmente, peleándome con los impuestos, empresas, Hacienda..... http://ciudadanos-cs.org</t>
  </si>
  <si>
    <t>http://www.futuronaranja.es/</t>
  </si>
  <si>
    <t>José Ramón Martín 🇪🇸</t>
  </si>
  <si>
    <t>La coherencia política y el respeto a la ley no tienen colores, un golpista es golpista sea de la ideología que sea, Ciudadanos y @Albert_Rivera acata la ley y respeta la Justicia, el PSOE tiene que posicionarse ¡Dentro vídeo! #STOPIndultos ⤵️ ⤵️ ⤵️ ⤵️ ⤵️</t>
  </si>
  <si>
    <t xml:space="preserve">Comunidad de Madrid, España </t>
  </si>
  <si>
    <t>Trabajando en él proyecto 🍊🍊Técnico Prevención Riesgos Laborales</t>
  </si>
  <si>
    <t>Sediarte (Silkart)</t>
  </si>
  <si>
    <t>Señores @sanchezcastejon @pabloiglesias78 @Albert_Rivera @pablocasado_ los #políticos que #endeudan #pueblos #ciudades #regiones y el #estado #Español deberían acusalos CONTRA LA SALUD #PUBLICA por mermar la calidad de #VIDA de los #ESPAÑOLES</t>
  </si>
  <si>
    <t>El resultado de la combinación del trabajo del artista con el gusano de la seda. Silk art, the combination of the artist's and the silkworms work.</t>
  </si>
  <si>
    <t>💫 Ismael Escuín 💫</t>
  </si>
  <si>
    <t>📽 @Albert_Rivera “¿Uds. piensan que la ruptura de la convivencia en Cataluña que han provocado los separatistas tiene que salir gratis? [...] Yo le pido al partido socialista que rectifique, que no cambien indultos por escaños.” 👉 #STOPIndultos</t>
  </si>
  <si>
    <t>Podemos Puerto Real</t>
  </si>
  <si>
    <t>Hace unos años, Albert Rivera y Santiago Abascal, líder de VOX, se lanzaban piropos y no les importaba reconocer que entre sus dos partidos había coincidencias programáticas.</t>
  </si>
  <si>
    <t>pic.twitter.com/6Vkk2H4Kf4</t>
  </si>
  <si>
    <t>España, Europa, Mundo 🇪🇸🇪🇺</t>
  </si>
  <si>
    <t>Sólo el cambio perdura. Todo fluye, nada permanece. Heráclito. RNA Cs. 📲 Redes | 👉 Marketing</t>
  </si>
  <si>
    <t>https://youtu.be/C4hpa5dCKAo</t>
  </si>
  <si>
    <t>Puerto Real (Cádiz)</t>
  </si>
  <si>
    <t>Círculo Podemos de Puerto Real</t>
  </si>
  <si>
    <t>http://podemos.info</t>
  </si>
  <si>
    <t>Susana Moreno Castil</t>
  </si>
  <si>
    <t>🚨🚨🚨El señor Sánchez si quiere gobernar y tener mayoría, que convoque elecciones y que se gane los escaños. No que regale o tenga en este caso los escaños de ERC o el PdCat por indultos🥊 @Albert_Rivera #STOPIndultos</t>
  </si>
  <si>
    <t>Chiclana</t>
  </si>
  <si>
    <t>Incansable ante las injusticias. Mi hija mi bandera.</t>
  </si>
  <si>
    <t>https://www.facebook.com/pages/Partido-Vecinal-Regionalista-PVRE-Chiclana/533261570044114?ref=hl</t>
  </si>
  <si>
    <t>En Blau es</t>
  </si>
  <si>
    <t>🔴📻 susanadiaz en OndaCero_es: "Llevábamos más de 3 años de estabilidad, pero los nervios de Albert_Rivera propiciaron esta situación. Ahora confío en que una mayoría de andaluces avalen nuestro proyecto el #2D para seguir avanzando" #LaBrújulaConSusanaDíaz</t>
  </si>
  <si>
    <t>El 20-N de Susanna Griso (@susannagriso): entrevista a Rivera (@Albert_Rivera) y conexión al Valle de los Caídos</t>
  </si>
  <si>
    <t>http://www.enblau.com/es/</t>
  </si>
  <si>
    <t>📽️@Albert_Rivera "Hoy puede ser un antes y un después en la historia del PSOE; veremos si tienen decencia y están al lado de los demócratas. La pregunta de si indultará a los golpistas le acompañará a Sánchez hasta su último día en Moncloa" #STOPIndultos</t>
  </si>
  <si>
    <t>pic.twitter.com/4aPSK2sV61</t>
  </si>
  <si>
    <t>ENBlau</t>
  </si>
  <si>
    <t>El 20-N de Susanna Griso (@susannagriso): entrevista a Rivera (@Albert_Rivera) i connexió al Valle de los Caídos</t>
  </si>
  <si>
    <t>Albert Rivera se ha terminado toda la coca de Cataluña, y ahora rula por Andalucía.</t>
  </si>
  <si>
    <t>http://www.enblau.com</t>
  </si>
  <si>
    <t>Cs Ordes</t>
  </si>
  <si>
    <t>Quieres saber porqué Sanchez quiere indultar a los que incumplieron las leyes de nuestra democracia? 📽️ @Albert_Rivera lo explica!! #STOPIndultos</t>
  </si>
  <si>
    <t>pic.twitter.com/PLGUcMnwkf</t>
  </si>
  <si>
    <t>Ordes, España</t>
  </si>
  <si>
    <t>Twitter Oficial del Grupo Local de Ciudadanos (Cs) Ordes - Twitter Oficial do Grupo Local de Cidadáns (Cs) Ordes</t>
  </si>
  <si>
    <t>🏛@Albert_Rivera saca toda su artillería contra el sanchismo por los indultos a los golpistas presos. 🎥⤵️ #STOPIndultos ⛔️</t>
  </si>
  <si>
    <t>Ramiro Cruz</t>
  </si>
  <si>
    <t>https://youtu.be/Vvvq1GenBy4</t>
  </si>
  <si>
    <t>Madrid -España</t>
  </si>
  <si>
    <t>http://www.etnikal.es</t>
  </si>
  <si>
    <t>Cs Valencia</t>
  </si>
  <si>
    <t>👉 Cuando @Albert_Rivera le preguntó a Sánchez si indultará a los golpistas no quiso contestar 🏛🔴 Hoy PSOE y Podemos han rechazado la petición de Cs de no conceder indultos a los políticos golpistas de Cataluña #STOPIndultos ✋</t>
  </si>
  <si>
    <t>pic.twitter.com/CQFmkhKRxV</t>
  </si>
  <si>
    <t>Toda la información del grupo municipal de 🍊Ciudadanos Valencia gmunicipal.valencia@ciudadanos-cs.org</t>
  </si>
  <si>
    <t>http://ayuntamiento-valencia.ciudadanos-cs.org/</t>
  </si>
  <si>
    <t>Implacable @Albert_Rivera @CiudadanosCs A quienes quieren romper España ni agua A quienes acosan a jueces ni agua #STOPindultos</t>
  </si>
  <si>
    <t>https://www.youtube.com/watch?v=D62g8svIjSc&amp;feature=youtu.be</t>
  </si>
  <si>
    <t>📽 @Albert_Rivera "A usted por estar un cuarto de hora más en Moncloa le vale todo" #STOPIndultos</t>
  </si>
  <si>
    <t>pic.twitter.com/nyg2hmR8xK</t>
  </si>
  <si>
    <t>El #Congreso, con el voto del PSOE, rechaza pronunciarse contra los #indultos a los líderes del procés  @Albert_Rivera</t>
  </si>
  <si>
    <t>https://www.europapress.es/nacional/noticia-congreso-voto-psoe-rechaza-pronunciarse-contra-indultos-politicos-independentistas-20181120195206.html</t>
  </si>
  <si>
    <t>Más comentados ahora en Derecha/Centro Dcha.: ➀ @sanchezcastejon ↓ ➁ @CiudadanosCs ↓ ➂ @Albert_Rivera ↑ ➃ @pepito_garca ➄ @PSOE ↓ ➅ @Tonicanto1 ↑↑ ➆ @ldpsincomplejos ↓ ➇ @currusquita ↑ ➈ @Nanchinho ↑↑↑</t>
  </si>
  <si>
    <t>Faldox</t>
  </si>
  <si>
    <t>El escupitajo del diputado de ERC habita donde residen los sueños como la piedra de Albert Rivera en Alsasua y el Máster de Pablo Casado.</t>
  </si>
  <si>
    <t>Opositor y amo de casa. Subcampeón Princesa de Asturias de la Concordia 2017. Ministro del salmorejo.</t>
  </si>
  <si>
    <t>Emilio Vidal 🍊</t>
  </si>
  <si>
    <t>👉 @Albert_Rivera "El señor Sánchez y su gobierno no son de fiar" #STOPIndultos 📽️ Demoledor</t>
  </si>
  <si>
    <t>pic.twitter.com/9uu9170IZ6</t>
  </si>
  <si>
    <t>📶Infraestructuras de telecomunicación Móvil y Comunicación. RCD de @CsLPGC. Imposible es sólo una opinión. #MejorUnidos 🇮🇨🇪🇸🌍</t>
  </si>
  <si>
    <t>Don León</t>
  </si>
  <si>
    <t>Que dice Albert Rivera que él en cuestiones políticas no se mete. Que eso lo deja para los políticos. RT @joanbaldovi: Pepa Bueno (SER): Entonces VOX no le parece un partido de extrema derecha? Albert Rivera (C’s): Eso lo dejo para ustedes. Pues eso: Lo dejo para ustedes (la respuesta de Albert Rivera). Sin comentarios.</t>
  </si>
  <si>
    <t>Más influyentes ahora en Derecha/Centro Dcha.: ➀ @pepito_garca ↑ ➁ @CiudadanosCs ↓ ➂ @Albert_Rivera ↑↑ ➃ @ldpsincomplejos ↓ ➄ @Tonicanto1 ↑↑ ➅ @currusquita ↑ ➆ @Nanchinho ↑↑↑ ➇ @Santi_ABASCAL ↓ ➈ @Cs_Andalucia ↓</t>
  </si>
  <si>
    <t>https://twitter.com/joanbaldovi/status/1065352743831961601
https://twitter.com/la_ser/status/1065154211707404288</t>
  </si>
  <si>
    <t>Mi conciencia tiene para mí más peso que la opinión de todo el mundo (Cicerón)</t>
  </si>
  <si>
    <t>Víctor Arrogante ✊🔴</t>
  </si>
  <si>
    <t>La solidaridad fascista 👇🏿 El apuro de Rivera cuando le preguntan si Vox es extrema derecha via @El_Plural</t>
  </si>
  <si>
    <t>📽️ @Albert_Rivera "Junqueras e Iglesias están negociando indultos por escaños; y eso es inmoral. Si llegamos al Gobierno de España respetaremos las sentencias judiciales; ese es nuestro compromiso" #STOPIndultos</t>
  </si>
  <si>
    <t>Profesor. Ayer y hoy militante por la justicia, la igualdad y la solidaridad. Inmediatamente me di cuenta que era algo por lo que merecía la pena luchar</t>
  </si>
  <si>
    <t>http://www.multiforo.eu</t>
  </si>
  <si>
    <t>pic.twitter.com/UMkGx7xYEP</t>
  </si>
  <si>
    <t>Catalana de cor</t>
  </si>
  <si>
    <t>Borrell es tan malo, tan mentiroso y tan incendiario como Albert Rivera, por eso ambos son simpatizantes o integrantes de Sociedad civil catalana y por su culpa Rufian ha sido expulsado sin motivo. RT @jmangues: Borrell ha acusado a un diputado de ERC de haberle escupido cuando salía del hemiciclo. Una acusación falsa demostrada este vídeo:</t>
  </si>
  <si>
    <t>https://twitter.com/jmangues/status/1065215466304618496</t>
  </si>
  <si>
    <t>pic.twitter.com/h1hPmA9rRc</t>
  </si>
  <si>
    <t>Como a mí también me gustaría decirle a la cara a Rivera que es un "fascista", hoy @JoanTarda me representa. @Albert_Rivera , eres un fascista, un peligro para este país. Descarga tu ambición y tu vanidad en otro lugar y déjanos en paz RT @elperiodico: .@JoanTarda, a @Albert_Rivera : "Cada vez que nos llame golpistas, le llamaremos fascista"</t>
  </si>
  <si>
    <t>Vine de Madrid a Cataluña hace 35 años. Ahora, compremetida con la República Catalana. Es una necesidad, no un capricho!</t>
  </si>
  <si>
    <t>https://twitter.com/elperiodico/status/1064949052272504832
http://elperiodi.co/lkwos1</t>
  </si>
  <si>
    <t>📽 @Albert_Rivera "Cs es la casa de los que no aceptan indultos, de los que no aceptan el chantaje de los nacionalistas o el cuponazo vasco" #STOPIndultos</t>
  </si>
  <si>
    <t>pic.twitter.com/am7gNi3vAs</t>
  </si>
  <si>
    <t>lola</t>
  </si>
  <si>
    <t>#45sindespidos @sanchezcastejon @Albert_Rivera @Pablo_Iglesias_ @pablocasado_ la ley de tropa y marinería tiene que ser derogada, profesionales altamente cualificados, discriminados por la edad, no se queden atrapados en el tiempo y deroguen la ley no es el día de la marmota</t>
  </si>
  <si>
    <t>Luchando lo conseguiremos</t>
  </si>
  <si>
    <t>Descane Antifascista 🔻</t>
  </si>
  <si>
    <t>Oye @Albert_Rivera, es usted es un FASCISTA. #20N #felizmartes</t>
  </si>
  <si>
    <t>pic.twitter.com/oZlYoUPyZb</t>
  </si>
  <si>
    <t>Sevillano menorquín</t>
  </si>
  <si>
    <t>•Clase: OBRERO | #AltsasukoakAske | 🎗 Twitter me ha suspendido mi cuenta @JDescane</t>
  </si>
  <si>
    <t>https://www.facebook.com/JDescane/</t>
  </si>
  <si>
    <t>Garbell</t>
  </si>
  <si>
    <t>FAV si crees que Albert Rivera iba para procurador.</t>
  </si>
  <si>
    <t>Mari Carmen #FreeTabarnia #SanchezDimision</t>
  </si>
  <si>
    <t>El debate de indultos a los "golpistas" de @Albert_Rivera enciende al nazi...onalista @JoanTarda (ERC): "Fascista" Lo que hay que oír! #EleccionesGeneralesYa</t>
  </si>
  <si>
    <t>Mallorca, Illes Balears🎗</t>
  </si>
  <si>
    <t>Take it easy.</t>
  </si>
  <si>
    <t>https://www.elconfidencial.com/espana/madrid/2018-11-20/debate-indultos-golpistas-rivera-fascista-tarda-congreso_1658598/?utm_campaign=BotoneraWebapp&amp;utm_source=twitter&amp;utm_medium=social</t>
  </si>
  <si>
    <t>Excepto Dios, nadie es lo suficientemente importante en tu vida para amargártela. ( Pedro Altuna)</t>
  </si>
  <si>
    <t>https://pbs.twimg.com/media/Dshn1UaWwAArLHO.jpg</t>
  </si>
  <si>
    <t>Raúl Gallart Pérez</t>
  </si>
  <si>
    <t>Un defensor de los golpistas secesionistas llamando fascista a quien defiende la unidad de España y quiere #STOPIndultos para aquellos que trataron de romper nuestro país. Está pasando...🏛️ Joan Tardá (ERC) a @Albert_Rivera</t>
  </si>
  <si>
    <t>pic.twitter.com/okhpdK7tqj</t>
  </si>
  <si>
    <t>Alzira, España</t>
  </si>
  <si>
    <t>Lo que más trabajo cuesta, más dulce se muestra. Vivo y me desvivo por mis seres queridos. @CiudadanosCs</t>
  </si>
  <si>
    <t>https://www.youtube.com/channel/UC03ra7_FNqzCzVs43anV2Mg</t>
  </si>
  <si>
    <t>Entrevista a Albert Rivera RIVERA es MÁS PELIGROSO que PABLO IGLESIAS 🌍 Dejar un comentario, 🔈 LO CIVIL Y LO POLITICO,</t>
  </si>
  <si>
    <t>https://goo.gl/LgNNqq?xib53=9002453556</t>
  </si>
  <si>
    <t>📽️ @Albert_Rivera a PSOE "¿Ustedes hubieran indultado a Tejero? Nosotros lo decimos claro: NO. Un país decente no puede permitir que haya impunidad ante los que quieren romper la convivencia y atacan a nuestros jueces" #STOPIndultos</t>
  </si>
  <si>
    <t>pic.twitter.com/q7TtwV7pls</t>
  </si>
  <si>
    <t>#45sindespidoTejera Fernández</t>
  </si>
  <si>
    <t>para muchos militares que se van a los 45 años seria un orgullo volver vestir el uniforme y rendirle honores aunque ahora somos civiles gracias a a una ley incumplida @CasaReal @Defensagob @EMADmde @sanchezcastejon @Albert_Rivera</t>
  </si>
  <si>
    <t>https://pbs.twimg.com/media/Dsd4RkqXoAAKuv4.jpg</t>
  </si>
  <si>
    <t>Sofia Miranda</t>
  </si>
  <si>
    <t>Sánchez se negó a contestar a @Albert_Rivera Hoy sabemos que el precio de La Moncloa pasa por los indultos a los golpistas independentistas. #STOPIndultos</t>
  </si>
  <si>
    <t>pic.twitter.com/Ti6CU3H4Ux</t>
  </si>
  <si>
    <t>Global citizen</t>
  </si>
  <si>
    <t>Concejal de @CsMadridCiudad. Politóloga, sinóloga internacionalista. Los partidismos no liberan la #cultura, la secuestran.</t>
  </si>
  <si>
    <t>http://bit.ly/CsMadridCiudad</t>
  </si>
  <si>
    <t>el sacrificio que se hace por la paz y a españa en misiones que se nos encomienda es recompesados al abandono a los 45 años de edad por leyes incumplidas y parcheadas de una a otra ley @sanchezcastejon @pabloiglesias78 @Albert_Rivera @pablocasado_ @javiercanoleal @JA_DelgadoRamos</t>
  </si>
  <si>
    <t>https://pbs.twimg.com/media/Dsd3G3nWoAEGgXm.jpg</t>
  </si>
  <si>
    <t>Yo</t>
  </si>
  <si>
    <t>"¿Por qué Albert Rivera no se atreve a decir que Vox es extrema derecha? Twitter analiza los motivos"</t>
  </si>
  <si>
    <t>https://ift.tt/2R1GWkd</t>
  </si>
  <si>
    <t>LlunaCatalana 3</t>
  </si>
  <si>
    <t>Ha quedado claro que @Albert_Rivera no quiere la independencia de Cataluña y que le importa una mierda Andalucía.</t>
  </si>
  <si>
    <t>pic.twitter.com/ROB8g256nN</t>
  </si>
  <si>
    <t>Catalonia is not Spain</t>
  </si>
  <si>
    <t>https://helpcatalonia.blogspot.com.es</t>
  </si>
  <si>
    <t>Bàrbara</t>
  </si>
  <si>
    <t>Oído para navegantes @pablocasado_ @sanchezcastejon @Albert_Rivera @Pablo_Iglesias_ Igual optáis por ir contra el sentido común y optáis por decir que Europa os boicotea. No descarto nada. RT @BeatrizTalegon: 🔴🔴🔴🔴🔴🔴🔴🔴🔴 el tribunal europeo de Derechos Humanos exige la libertad de un diputado kurdo que ha estado en prisión sin juicio durante más de año y medio. Lo decide por unanimidad.</t>
  </si>
  <si>
    <t>https://twitter.com/BeatrizTalegon/status/1064901983486779392
https://twitter.com/josepcosta/status/1064887132479791104</t>
  </si>
  <si>
    <t>Intento ser dialogante, comprensiva y empática...</t>
  </si>
  <si>
    <t>Jóvenes Cs</t>
  </si>
  <si>
    <t>👉@Albert_Rivera "¿Se compromete a no indultar a los golpistas, sí o no?" 😡Sánchez no responde. Mientras Sánchez negocia indultos en la carcel Cs dice #STOPIndultos y elecciones YA</t>
  </si>
  <si>
    <t>pic.twitter.com/aw3U2o01qX</t>
  </si>
  <si>
    <t>Perfil oficial de la Secretaría de Juventud de @CiudadanosCs- Partido de la Ciudadanía</t>
  </si>
  <si>
    <t>Soberbio @Albert_Rivera 🍊🍊 #STOPIndultos RT @CiudadanosCs: 📽️ @Albert_Rivera "Los tres motivos por los que se puede indultar: amigo del presidente; si sabes algún marrón del presidente o si necesitas sus escaños. Escojan entre ser constitucionalistas y mantener la decencia o no volver a mirarse al espejo de la democracia" #STOPIndultos</t>
  </si>
  <si>
    <t>Pepa Bueno (SER): Entonces VOX no le parece un partido de extrema derecha? Albert Rivera (C’s): Eso lo dejo para ustedes. Pues eso: Lo dejo para ustedes (la respuesta de Albert Rivera). Sin comentarios. RT @La_SER: Albert Rivera evita calificar a Vox como un partido de ultraderecha La entrevista completa del líder de @CiudadanosCs en @HoyPorHoy con @PepaBueno →</t>
  </si>
  <si>
    <t>https://twitter.com/CiudadanosCs/status/1064940205654855681</t>
  </si>
  <si>
    <t>https://pbs.twimg.com/media/Dsdta2mW0AIlagJ.jpg</t>
  </si>
  <si>
    <t>pic.twitter.com/0hg0ots3uO</t>
  </si>
  <si>
    <t>Jacobino</t>
  </si>
  <si>
    <t>El PP pretende ilegalizar el comunismo, Albert Rivera dice que las dictaduras tienen su punto bueno... Misión: captar el voto del facherío más retrógrado de este país.</t>
  </si>
  <si>
    <t>Móstoles, España</t>
  </si>
  <si>
    <t>Profesor interino de biología y geología. Luchando por la educación pública y por los intereses generales de la clase trabajadora. Comunista.</t>
  </si>
  <si>
    <t>http://elblogdejohncoffey.blogspot.com.es/</t>
  </si>
  <si>
    <t>http://elperiodi.co/lkwos1</t>
  </si>
  <si>
    <t>CARLOS ALBERTO</t>
  </si>
  <si>
    <t>LAS FUERZAS DEL ORDEN : FFAA Y PNP: EN ESPAÑA RESPETAN SALARIOS DE LOS POLICÍAS Y EN E...</t>
  </si>
  <si>
    <t>Periodista colegiado 1730 Vocal de Informaciones de la Asociación de Periodistas Policiales del perú APEPOL Grafólogo y Perito Forense</t>
  </si>
  <si>
    <t>📽️ @Albert_Rivera "Nosotros decimos SÍ a la justicia; NO a los indultos. Es inmoral el mensaje que lanzan a la democracia. La diferencia entre un estadista y un oportunista es que un estadista respeta una resolución judicial; y un oportunista como Sánchez no" #STOPIndultos</t>
  </si>
  <si>
    <t>pic.twitter.com/f9xOVe6fZI</t>
  </si>
  <si>
    <t>A ver Sr @Albert_Rivera que está muy pesadito con el tema... Primero habrá que esperar la sentencia, que los condenen y después ya podrá llorar lo que quiera si hubiese indulto... Aunque ahora q lo pienso, le dará igual la sentencia, siempre encuentra un motivo para llorar RT @Albert_Rivera: 🏛 El sanchismo quiere indultar a quienes dieron un golpe a nuestra democracia para comprar así su apoyo y sus escaños. Ante este pacto inmoral y humillante para el pueblo español, decimos alto y claro: NO a los indultos, SÍ a la Justicia. #STOPIndultos</t>
  </si>
  <si>
    <t>Lidia Rodríguez</t>
  </si>
  <si>
    <t>Extrañados de que Albert Rivera no defina a VOX como ultraderecha. Y si no condenas el fascismo, ¿Qué eres? 👇🏽 RT @LaFallaras: Si no condenas en fascismo, ¿qué eres? Si no condenas una dictadura, ¿qué eres? Si no condenas un régimen que asesinó a miles y miles de personas y torturó a otras tantas, ¿qué eres?</t>
  </si>
  <si>
    <t>https://twitter.com/Albert_Rivera/status/1064943434115497984</t>
  </si>
  <si>
    <t>pic.twitter.com/wDOkUFHfpf</t>
  </si>
  <si>
    <t>https://twitter.com/LaFallaras/status/1065297288761876486
https://elpais.com/politica/2018/11/21/actualidad/1542812383_600299.html</t>
  </si>
  <si>
    <t>Periodista porque Sin Periodistas No Hay Periodismo - defendiendo el #Periodigno en @Upccanarias</t>
  </si>
  <si>
    <t>Intervención de @Albert_Rivera contra el indulto a los golpistas. Lo de hoy es un punto de inflexión en la historia del PSOE: el sanchismo lo ha dejado fuera del constitucionalismo. Por un puñado de escaños. #STOPIndultos</t>
  </si>
  <si>
    <t>🎗️🎗PETER FALK 🎗🎗️ 🇧🇪Pere for the friends!</t>
  </si>
  <si>
    <t>Frase lapidaria de Albert Rivera! 😠 😠 😠 RT @circe1939: @RubenSanchezTW @Moonshadow2020 La dictadura da cierto orden. En la paz de los muertos reina el gusano. Esa es la paz que quieren los de extrema derecha PP y C's.</t>
  </si>
  <si>
    <t>https://youtu.be/64sgFG9MlcI</t>
  </si>
  <si>
    <t>https://twitter.com/circe1939/status/1065289157717692417</t>
  </si>
  <si>
    <t>Katalonskaya Respublika.</t>
  </si>
  <si>
    <t>EN LLUITA PER LA DEMOCRÀCIA ||*|| #TRAM8. 🇧🇪 BELGIUM IS A FREE COUNTRY! 🇧🇪</t>
  </si>
  <si>
    <t>Partido CorruPPto</t>
  </si>
  <si>
    <t>Rosalía consigue 3 estrellas Michelín, 6 Grammys Latinos, 1 Oscar y que Albert Rivera califique a VOX de partido Ultraderechista. #GuiaMichelin2019</t>
  </si>
  <si>
    <t>Cas</t>
  </si>
  <si>
    <t>Aquí el juez @Albert_Rivera este tuit recuerda a los juicios sumarísimos del Franquismo. #Nohemoscambiado #20N RT @Albert_Rivera: 🏛 El sanchismo quiere indultar a quienes dieron un golpe a nuestra democracia para comprar así su apoyo y sus escaños. Ante este pacto inmoral y humillante para el pueblo español, decimos alto y claro: NO a los indultos, SÍ a la Justicia. #STOPIndultos</t>
  </si>
  <si>
    <t>Lanzarote, Islas Canarias</t>
  </si>
  <si>
    <t>Viviendo</t>
  </si>
  <si>
    <t>Casandra veía el futuro, la muerte y el sufrimiento ajeno y nadie la creía. ¿A mí? A veces, sólo a veces.</t>
  </si>
  <si>
    <t>Flor María Fernández</t>
  </si>
  <si>
    <t>Albert Rivera estalla contra PP y PSOE y les exige "romper el pacto de la vergüenza" del CGPJ</t>
  </si>
  <si>
    <t>Esta tarde en el Congreso @Albert_Rivera ha machacado al "Doctor" Sánchez , veanlo aquí</t>
  </si>
  <si>
    <t>https://www.elindependiente.com/politica/2018/11/20/rivera-exige-disculpas-pp-psoe-pacto-la-verguenza-del-cppg/?utm_source=share_buttons&amp;utm_medium=twitter&amp;utm_campaign=social_share</t>
  </si>
  <si>
    <t>https://pbs.twimg.com/media/DsdzjOdWsAMscc7.jpg</t>
  </si>
  <si>
    <t>Asturias ,Aviles.</t>
  </si>
  <si>
    <t>ESPAÑOLA. ASTURIANA DE AVILÉS.CATOLICA. ORGULLOSA DE SER ESPAÑOLA.</t>
  </si>
  <si>
    <t>Moción de Ciudadanos sobre indultos a los líderes del procés: @JoanTarda se enfada con @Albert_Rivera en el Congreso: "Cada vez que usted nos llame golpistas, ¡le diremos fascista!"</t>
  </si>
  <si>
    <t>https://pbs.twimg.com/media/DsdzSBkXoAAoTw0.jpg</t>
  </si>
  <si>
    <t>🍊 @JulioDiazCs "La resignación para mí nunca ha sido una opción. @JuanMarin_Cs, @Albert_Rivera e @InesArrimadas me sacaron del sofá. Me pusieron en pie para trabajar por mi tierra" #AhoraSíHuelva</t>
  </si>
  <si>
    <t>pic.twitter.com/SGMS0kikyt</t>
  </si>
  <si>
    <t>Cs Barrax</t>
  </si>
  <si>
    <t>🏛👉🏼 “Indultos Señor Sánchez, ¿va a prometer dar indultos a los que han intentado romper nuestra democracia? ¿Si o no?” @Albert_Rivera 🔴 Sánchez es capaz de cualquier cosa para quedarse en la Moncloa #STOPIndultos</t>
  </si>
  <si>
    <t>pic.twitter.com/GdKu3t9CCH</t>
  </si>
  <si>
    <t>Barrax, España</t>
  </si>
  <si>
    <t>Perfil Oficial. Partido político progresista, surgido de un movimiento de ciudadanos que quieren regenerar la política española. ¡Síguenos también en Facebook!</t>
  </si>
  <si>
    <t>Cosas que SI puedes hacer si llevas la bandera de España: Agredir periodistas sin que Albert Rivera te llame nazi. Cosas que NO puedes hacer si llevas la bandera de España: Bajar escaleras sin caerte.</t>
  </si>
  <si>
    <t>NACIONAL | @Albert_Rivera afirma que lo "único bueno"que puede hacer Pedro Sánchez es convocar elecciones</t>
  </si>
  <si>
    <t>pic.twitter.com/q5HfxD4M3G</t>
  </si>
  <si>
    <t>https://www.compostela24horas.com/texto-diario/mostrar/1258552/albert-rivera-afirma-unico-buenoque-puede-hacer-pedro-sanchez-convocar-elecciones</t>
  </si>
  <si>
    <t>@itosarceconde</t>
  </si>
  <si>
    <t>Patricia Guasp</t>
  </si>
  <si>
    <t>Contundente @Albert_Rivera denunciando los posibles indultos de @sanchezcastejon a los que quieren liquidar nuestra democracia y romper España. #STOPIndultos ⛔️</t>
  </si>
  <si>
    <t>vigo</t>
  </si>
  <si>
    <t>Soy de Vigo y no lo niego y del Celta. Y abuela de Lola, Xabi y Pepe</t>
  </si>
  <si>
    <t>Asuntos Europeos y Sector Público|Máster en Dcho.Europeo,Univ.Libre de Bruselas| Asociada en @PwC |Antes @europarl_Es y @goib |Liberal| Blog”Mirando a Europa”🇪🇺</t>
  </si>
  <si>
    <t>https://patriciaguasp.wordpress.com</t>
  </si>
  <si>
    <t>Raúl Moreno</t>
  </si>
  <si>
    <t>Esta mañana en @La_SER Albert Rivera ha evitado calificar a VOX como partido de extrema derecha. Esta tarde, Ciudadanos y el PP se abstienen en la condena al franquismo. Blanco y en botella. RT @ElHuffPost: ÚLTIMA HORA: El Senado condena al franquismo con la abstención del PP, Ciudadanos, UPN y Foro Asturias</t>
  </si>
  <si>
    <t>#45sindespidos @sanchezcastejon @susanadiaz @Albert_Rivera @Pablo_Iglesias_ @pablocasado_ la ley de tropa y marinería se derogara algún día? #sosprisiones faltos de personal sus vidas en peligro, militares al paro sus vidas en peligro,aquí les falla algo señores gobernantes</t>
  </si>
  <si>
    <t>Santa Coloma de Gramenet</t>
  </si>
  <si>
    <t>Colomense, socialista y educador social. Diputado del PSC al Parlament de Catalunya. Interesado en políticas sociales.</t>
  </si>
  <si>
    <t>https://www.facebook.com/raulmorenomontana</t>
  </si>
  <si>
    <t>📽️ @Albert_Rivera "No nos fiamos un pelo del PSOE y Sánchez: Iceta y Cunillera han dicho que hay que conceder indultos a los políticos separatistas. Es importante que los españoles sepan si el Gobierno de España respetará la justicia española" #STOPIndultos</t>
  </si>
  <si>
    <t>pic.twitter.com/o7hGHxfSDe</t>
  </si>
  <si>
    <t>Boqui_Enfurecido</t>
  </si>
  <si>
    <t>QUEREMOS QUE SE NOS ESCUCHE! Queremos ser VISIBLES @A3Noticias @sextaNoticias @telediario_tve @informativost5 @noticias_cuatro @el_pais @elmundoes @okdiario @sanchezcastejon @Albert_Rivera @pablocasado_ @Pablo_Iglesias_ #TuAbandonoMePuedeMatar #SOSprisiones RT @AcaipTeixeiro: Director Teixeiro y Subdelegacion del Gobierno utilizan @guardiacivil para bajar con coaciones de los autobuses a compañeros de servicios mínimos. #Marlaska nos prefiere a las puertas y no en una mesa de #negociacion #PrisionesEnHuelga #sosprisiones</t>
  </si>
  <si>
    <t>https://twitter.com/acaipteixeiro/status/1064538872279912453</t>
  </si>
  <si>
    <t>pic.twitter.com/oWvNw0XEEB</t>
  </si>
  <si>
    <t>TU ABANDONO NOS PUEDE MATAR #Prisionesenhuelga #NoEsPorTiEsPorMi</t>
  </si>
  <si>
    <t>📽 @Albert_Rivera al señor Sánchez "¿Va usted a comprometerse a no indultar a los que han dado un golpe a la democracia? Porque si no lo hace, le invito a que convoque #EleccionesYa y lleve en su programa el indulto, a ver qué piensan los españoles" 🛑#STOPIndultos</t>
  </si>
  <si>
    <t>Pedro M. Otero</t>
  </si>
  <si>
    <t>pic.twitter.com/JRgjYQCbkU</t>
  </si>
  <si>
    <t>S.Vte.del Raspeig Alicante</t>
  </si>
  <si>
    <t>Ateo, de Izquierdas, Progresista, defensor de los derechos Humanos y de los Animales, lucho contra las Injusticias, Republicano.</t>
  </si>
  <si>
    <t>📽️ @Albert_Rivera "Los que van a votar a Ciudadanos, no aceptan chantajes, no aceptan indultos a los nacionalistas y no aceptan 'cuponazos vascos" 🛑#STOPIndultos</t>
  </si>
  <si>
    <t>pic.twitter.com/vMFvUJfGxd</t>
  </si>
  <si>
    <t>Jesús Mayoral 🇪🇸🇪🇸🇪🇺</t>
  </si>
  <si>
    <t>Pues esto es lo que hay cobrando del bolsillo de todos los Españoles. Llamando " fascista " a @Albert_Rivera en nombre de no sé qué miles de " personas ". Tal vez en nombre de esos 900 " heridos" del 1O que no aparecieron por ningún hospital.</t>
  </si>
  <si>
    <t>pic.twitter.com/dPsZufBwDE</t>
  </si>
  <si>
    <t>Capricornio del 73, Zaragozano, Aragonés y Español.</t>
  </si>
  <si>
    <t>Alegría Alonso</t>
  </si>
  <si>
    <t>Albert Rivera, incapaz de definir a Vox como extrema derecha. Y es que no es analista político, no se dedica a eso, lo suyo son las fakes.</t>
  </si>
  <si>
    <t>Hacia el norte me iré</t>
  </si>
  <si>
    <t>Socialista. Tengo varios sueños y trabajo para convertirlos en realidad.</t>
  </si>
  <si>
    <t>No se confundan señores y señoras España creó a Franco y consintió su muerte en la cama @UEmadrid @CasaReal @sanchezcastejon @Pablo_Iglesias_ @pablocasado_ @Albert_Rivera  vía @elmundoes</t>
  </si>
  <si>
    <t>https://www.elmundo.es/espana/2018/11/20/5bf3071946163ffb518b4673.html</t>
  </si>
  <si>
    <t>Miguu</t>
  </si>
  <si>
    <t>De verdad Albert Rivera tiene la capacidad política de una puta piedra</t>
  </si>
  <si>
    <t>LV-426</t>
  </si>
  <si>
    <t>Maybe I'll get it right next time. #5 #7</t>
  </si>
  <si>
    <t>Raquel Gutiérrez</t>
  </si>
  <si>
    <t>Según @JoanTarda @Albert_Rivera es un fascista. Parece que les sigue sin gustar otra forma de pensar... Y cuando no tiene la razón hace demagogia</t>
  </si>
  <si>
    <t>Jon Mikel</t>
  </si>
  <si>
    <t>Un chupito cada vez que Albert Rivera llame golpista a alguien</t>
  </si>
  <si>
    <t>Valdemoro, España</t>
  </si>
  <si>
    <t>Ciudadana en busca de lo imposible, cada día más posible. @CsValdemoro 💚 #LuchaContraLaELA</t>
  </si>
  <si>
    <t>País Vasco</t>
  </si>
  <si>
    <t>A veces dibujo. Instagram: jonmikel_comic</t>
  </si>
  <si>
    <t>http://jonmikel.blogcindario.com/</t>
  </si>
  <si>
    <t>El Tardas parece que ya va dominando mejor el Castellano,ha pasado el rubicon,para llamar al compliC's @Albert_rivera FACISTA😂😂😂😂</t>
  </si>
  <si>
    <t>Carlos Campillo</t>
  </si>
  <si>
    <t>Veo que @Albert_Rivera sigue haciendo amigos en el Congreso. Hoy @JoanTarda....</t>
  </si>
  <si>
    <t>Paco Lobo</t>
  </si>
  <si>
    <t>Albert Rivera evita calificar a VOX como un partido de extrema derecha para no perder exclusividad...</t>
  </si>
  <si>
    <t>Trabajo en I+D. Loco del basket. Seguidor del CB Murcia. Socialista convencido. Padre abnegado. 🎤Tertuliano a ratos.</t>
  </si>
  <si>
    <t>http://www.elblogdecampillo.blogspot.com</t>
  </si>
  <si>
    <t>Marinero libertario con alma de poeta,un pirata bueno,superviviente de los naufragios de la vida y el amor.</t>
  </si>
  <si>
    <t>Laura Domínguez</t>
  </si>
  <si>
    <t>Por el amor de un señor, por humanidad, que alguien le de una respuesta a @Albert_Rivera sobre los #indultos de una vez! ¿No veis que ni come ni duerme? RT @CiudadanosCs: 📽️ @Albert_Rivera "No nos fiamos un pelo del PSOE y Sánchez: Iceta y Cunillera han dicho que hay que conceder indultos a los políticos separatistas. Es importante que los españoles sepan si el Gobierno de España respetará la justicia española" #STOPIndultos</t>
  </si>
  <si>
    <t>BandidoPopular 💜</t>
  </si>
  <si>
    <t>https://twitter.com/CiudadanosCs/status/1064938975905890307</t>
  </si>
  <si>
    <t>pic.twitter.com/jfhczFXYmP</t>
  </si>
  <si>
    <t>Salud, feminismo, y República. Ay, y actriz y bloguera -quetontaeres.blogspot.com- Contacto:</t>
  </si>
  <si>
    <t>http://theyourocktalent.com</t>
  </si>
  <si>
    <t>Abogado del ICAM. Me gusta la Naturaleza, el arte, viajar y amar. Inconformista esperanzado. Mis valores: libertad, justicia e igualdad. Conquistamos #DDHH.</t>
  </si>
  <si>
    <t>Antonio_Delgado</t>
  </si>
  <si>
    <t>Nihilista Incongruente</t>
  </si>
  <si>
    <t>Albert Rivera no condena el franquismo , porqué no es analista político Y también , porqué eso se lo deja a quien no sea facha</t>
  </si>
  <si>
    <t>Lo de "primo de rivera" estaras cansado de oirlo desde primaria. Que cortitos son estos de izquierdas. Animos @Albert_Rivera .</t>
  </si>
  <si>
    <t>Centro de desintoxicacion mas cercano. Lata de Steinburg a euro.</t>
  </si>
  <si>
    <t>Entrevías , Vallekas</t>
  </si>
  <si>
    <t>Mi madre me decía , No eres más tonto porqué no te entrenas ... y aquí estoy , en Twitter dándolo todo 😉</t>
  </si>
  <si>
    <t>Fran Rey</t>
  </si>
  <si>
    <t>Ahora Albert Rivera no quiere etiquetar a Vox, pero en el pasado no ha tenido problemas en calificar de extrema izquierda a Podemos o a la Francia Insumisa de Jean-Luc Melenchon.</t>
  </si>
  <si>
    <t>https://www.facebook.com/100000095060231/posts/2178999835446497/</t>
  </si>
  <si>
    <t>Εnrik</t>
  </si>
  <si>
    <t>Olé los huevos de Tardá, gran zasca a @Albert_Rivera.</t>
  </si>
  <si>
    <t>Asturies</t>
  </si>
  <si>
    <t>Fisicoquímico y profesor de Física y Química. Socialista democrático. He sido coordinador de educación en IU Asturies y secretario de educación en CLI-AS.</t>
  </si>
  <si>
    <t>http://fran-rey.com</t>
  </si>
  <si>
    <t>Storybrooke, Maine, USA</t>
  </si>
  <si>
    <t>21 🎼/Wanderlust ✈️/Biología UAH/LGT[B]I+/14%</t>
  </si>
  <si>
    <t>Yo he visto la intervención de @JoanTarda muy lógica, especialmente tras aguantar los continuos insultos y menosprecios de @Albert_Rivera desde su escaño.</t>
  </si>
  <si>
    <t>Más comentados ahora en Derecha/Centro Dcha.: ➀ @sanchezcastejon ↑↑ ➁ @pepito_garca ↑ ➂ @Albert_Rivera ↓ ➃ @PSOE ↑ ➄ @CiudadanosCs ↑↑ ➅ @susanadiaz ↑ ➆ @ldpsincomplejos ↑ ➇ @Santi_ABASCAL ↓ ➈ @CristinaSegui_ ↑</t>
  </si>
  <si>
    <t>https://pbs.twimg.com/media/DsdbSDCWsAEEL2t.jpg</t>
  </si>
  <si>
    <t>Barcelona today</t>
  </si>
  <si>
    <t>Hasta en tres ocasiones ha evitado Albert Rivera calificar a Vox como un partido de extrema derecha. El líder de Ciudadanos se niega a hablar de ese partido. Dice que él no es "un analista".</t>
  </si>
  <si>
    <t>https://www.antena3.com/noticias/espana/rivera-no-quiere-calificar-a-vox-de-ultra-video_201811215bf572bc0cf25d64f623e7b0.html</t>
  </si>
  <si>
    <t>Buluc</t>
  </si>
  <si>
    <t>Esto si es un PRESIDENTE como el que España precisa URGENTEMENTE. @Albert_Rivera es coherencia política lo mires por donde quieras. Sigue así presidente. #STOPIndultos</t>
  </si>
  <si>
    <t>https://pbs.twimg.com/media/Dsdtfo1XQAAZ9-p.jpg</t>
  </si>
  <si>
    <t>😟 El #PactoDeLosIndultos humilla y avergüenza a muchos españoles. 👉🏻 Sirve para que Sánchez pueda seguir atrincherado en La Moncloa. 📽 @Albert_Rivera "¿Se compromete a no indultar a los golpistas, sí o no?" 🤷🏻‍♂️ Sánchez no responde. 🚫 #STOPIndultos</t>
  </si>
  <si>
    <t>pic.twitter.com/2Rfcr38CT3</t>
  </si>
  <si>
    <t>pic.twitter.com/GKRlh9kzhS</t>
  </si>
  <si>
    <t>saram82</t>
  </si>
  <si>
    <t>No más cesiones, no más chantajes #STOPindultos ,@Albert_Rivera siempre defendiendo la legalidad</t>
  </si>
  <si>
    <t>Palfred ama a Elton 🦖</t>
  </si>
  <si>
    <t>Yo he salido al mejicano pero quería a Albert Rivera</t>
  </si>
  <si>
    <t>Esperando 1016</t>
  </si>
  <si>
    <t>En reinclusión tuitera pero me da pereza la vida. Actualmente en mi búnker de apuntes particular.</t>
  </si>
  <si>
    <t>Jose Herrero Garcia</t>
  </si>
  <si>
    <t>Talavera d la reina</t>
  </si>
  <si>
    <t>un verato en Talavera</t>
  </si>
  <si>
    <t>pic.twitter.com/zkko09ohOZ</t>
  </si>
  <si>
    <t>Pilar Muñoz Sánchez</t>
  </si>
  <si>
    <t>¿Por qué el Presidente Sánchez no contestó a @Albert_Rivera en el Congreso de los Diputados, sobre si va a indultar a los organizadores del referéndum ilegal ? ¿ Cambia su sillón por indultos? Los españoles no nos merecemos esto. #STOPIndultos</t>
  </si>
  <si>
    <t>https://pbs.twimg.com/media/DsdseP9WoAEy1-7.jpg</t>
  </si>
  <si>
    <t>Concejal de @Cs_Murcia en el Ayuntamiento de Murcia y funcionaria de la Carm. Trabajando por un municipio mejor</t>
  </si>
  <si>
    <t>Cs Málaga</t>
  </si>
  <si>
    <t>🎥 @Albert_Rivera "Hay que escuchar y respetar a la justicia, no saltarse la justicia con un indulto del siglo XIX para beneficiar a los que quieren liquidar España" #STOPIndultos</t>
  </si>
  <si>
    <t>pic.twitter.com/tNRP6vLkjm</t>
  </si>
  <si>
    <t>Luis Galán</t>
  </si>
  <si>
    <t>Perfil Oficial de Ciudadanos Málaga. Contáctanos en http://facebook.com/CsMalaga/</t>
  </si>
  <si>
    <t>Con más pasado que futuro</t>
  </si>
  <si>
    <t>Albert Rivera: "Marchena pone la dignidad; Casado y Sánchez, la vergüenza"</t>
  </si>
  <si>
    <t>https://www.elmundo.es/espana/2018/11/20/5bf3e474e2704ec6568b4825.html</t>
  </si>
  <si>
    <t>‼️SIN PIEDAD‼️ @Albert_Rivera 💥RE-MA-TA💥 a Pedro SÁNCHEZ por los INDULTOS a los GOLPISTAS #STOPIndultos ⤵️</t>
  </si>
  <si>
    <t>📸 @Albert_Rivera ha intervenido en el @Congreso_Es para defender la moción de Cs de #STOPIndultos. 🏛️ ¡Te hacemos un resumen a continuación!</t>
  </si>
  <si>
    <t>https://pbs.twimg.com/media/DsdsF7zXQAMDx96.jpg</t>
  </si>
  <si>
    <t>Paulo César</t>
  </si>
  <si>
    <t>Esta claro el mensaje de @sanchezcastejon, el que no lo entienda y diga lo contrario tiene un problema de entendimiento o simplemente quiere engañarnos @pablocasado_ @Albert_Rivera @CiudadanosCs @PPopular RT @espana_karmen: El Presidente pide a los Independentistas que sean valientes y diga a la,Sociedad que la Independencia no es posible Asuman la realidad no son mayoría en Cataluña #ElPSOEDaSeguridad #Razonesparaconfiar #ElGobiernoDeLaDignidad</t>
  </si>
  <si>
    <t>https://twitter.com/espana_karmen/status/1064908324897005568</t>
  </si>
  <si>
    <t>pic.twitter.com/cJGHWT14uL</t>
  </si>
  <si>
    <t>Estudiante de Grado de Economía de la Universidad Complutense de Madrid. Chalaco de corazón, Madridista 100% e hincha del Sport Boys del Callao.</t>
  </si>
  <si>
    <t>Cs Pontevedra</t>
  </si>
  <si>
    <t>🎥 @Albert_Rivera "Hay que escuchar a la justicia y respetar a la justicia. No saltársela con indultos del S. XIX para beneficiar a los que quieren romper España" #STOPIndultos</t>
  </si>
  <si>
    <t>pic.twitter.com/DDGgD5i3R0</t>
  </si>
  <si>
    <t>Twitter oficial de la Agrupación de Ciudadanos (Cs) de Pontevedra - Twitter oficial da Agrupación de Cidadáns (Cs) de Pontevedra. pontevedra@ciudadanos-cs.org</t>
  </si>
  <si>
    <t>https://www.facebook.com/Ciudadanos-Pontevedra-578630848932933/timeline/</t>
  </si>
  <si>
    <t>Naranjita Valenciana</t>
  </si>
  <si>
    <t>#STOPIndultos a ladrones, corruptos, banqueros y demás morralla a la que @Albert_Rivera y @CiudadanosCs apoya</t>
  </si>
  <si>
    <t>"¡¡¡Es que el litro de gasolina está por la nubes, mucho más caro que el kilo de harina!!!" ha declarado Albert Rivera según fuentes oficiales RT @iescolar: Ciudadanos no llevará a Catalunya el autobús contra los indultos a independentistas</t>
  </si>
  <si>
    <t>https://twitter.com/iescolar/status/1065328614462365697
https://www.eldiario.es/catalunya/politica/Ciudadanos-llevara-Catalunya-indultos-independentistas_0_838167122.html</t>
  </si>
  <si>
    <t>Estoy interesada en.... divertirme.</t>
  </si>
  <si>
    <t>MAQUIAVELA</t>
  </si>
  <si>
    <t>El @PSOE no fué capaz d contestar a la pregunta q @Albert_Rivera le hizo en la Cámara: “Puede confirmar y asegurar q no habrá indultos a los golpistas”? #STOPIndultos</t>
  </si>
  <si>
    <t>https://pbs.twimg.com/media/Dsdq4FVX4AA71d9.jpg</t>
  </si>
  <si>
    <t>Tabarnia</t>
  </si>
  <si>
    <t>Tabarnesa convencida, amiga dl progreso. Catalana,española y europea</t>
  </si>
  <si>
    <t>. @Albert_Rivera se ha cansado de preguntarle a @sanchezcastejon si indultaría a los golpistas, pero con tanto viaje al extranjero este último ya no debe entender nuestro idioma. Hoy tendrá que retratarse ante la PNL que @CiudadanosCs presenta en el @Congreso_Es #STOPIndultos</t>
  </si>
  <si>
    <t>Señores a los que Albert Rivera no sabe ubicar ideológicamente porque no es analista político invadiendo Polonia.</t>
  </si>
  <si>
    <t>https://pbs.twimg.com/media/DsdqD6yX4AIbSmW.jpg</t>
  </si>
  <si>
    <t>Ciudadanos tachaba de "espectáculo" el fletar autobuses políticos...Y ahora los de Albert Rivera plagian la idea de Podemos para alertar de hipotéticos indultos a los independentistas</t>
  </si>
  <si>
    <t>📽 @Albert_Rivera "El 'Sanchismo' ha pactado con populistas y separatistas con el único objetivo de mantenerse un cuarto de hora más en La Moncloa; ha roto todos los puentes con el constitucionalismo" #STOPIndultos</t>
  </si>
  <si>
    <t>pic.twitter.com/6pMA83sPZF</t>
  </si>
  <si>
    <t>🏛@Albert_Rivera “La pregunta es muy sencilla ... ¿Van a conceder indultos a los golpistas que quieren liquidar nuestro país? ¿Si o No? Contesten! No cambien indultos por escaños! Que lo sepan todos los españoles #STOPIndultos RT @CiudadanosCs: 🤦🏻‍♀️ Pedro Sánchez pacta a espaldas de los españoles. 👉 Negoció el #PactoDeLosIndultos con separatistas a cambio de que apoyaran sus presupuestos. 🏛🍊 Cs defiende hoy en el Congreso una propuesta para impedirlo #STOPIndultos</t>
  </si>
  <si>
    <t>https://twitter.com/ciudadanoscs/status/1064926347028557826?s=21</t>
  </si>
  <si>
    <t>Cs Icod</t>
  </si>
  <si>
    <t>📽 @Albert_Rivera “En esa cárcel no se negociaron cuotas de autónomo” #STOPIndultos</t>
  </si>
  <si>
    <t>pic.twitter.com/PAasN77cRP</t>
  </si>
  <si>
    <t>Icod de los Vinos, España</t>
  </si>
  <si>
    <t>Twitter oficial Ciudadanos (C's) Icod de los Vinos</t>
  </si>
  <si>
    <t>Sergio Zorita</t>
  </si>
  <si>
    <t>También, como @Albert_Rivera @CiudadanosCs pregunto a @sanchezcastejon y al @PSOE : van a conceder indultos a los que quieren romper a España? #StopIndultos</t>
  </si>
  <si>
    <t>pic.twitter.com/zmE0t0GgVg</t>
  </si>
  <si>
    <t>Karlos</t>
  </si>
  <si>
    <t>Pablo Casado evita calificar a VOX como un partido de extrema derecha. Normal, un padre no rechaza a un hijo. Albert Rivera también, un hermano no rechaza a otro. Parece muy claro que PP, Cs y VOX son lo mismo. RT @La_SER: Albert Rivera evita calificar a Vox como un partido de ultraderecha La entrevista completa del líder de @CiudadanosCs en @HoyPorHoy con @PepaBueno →</t>
  </si>
  <si>
    <t>Zaragoza, Aragón</t>
  </si>
  <si>
    <t>Fan de mi hija. Autor de http://www.mireiaunasonrisaeterna.es Vocal Junta Municipal Almozara por @CsZaragoza En @CiudadanosCs @Cs_Aragon Del Barça. Mecano. CM</t>
  </si>
  <si>
    <t>http://sergio-zorita.blogspot.com/</t>
  </si>
  <si>
    <t>cambiando el mundo a cañonazos...de palabras. Uno más en el mundo. Coportavoz de Zaragoza en Común</t>
  </si>
  <si>
    <t>📽️ @Albert_Rivera "Los indultos son inmorales. Hay que escuchar a la justicia⚖️, respetar a la justicia, no saltarse la justicia con un indulto del s. XIX para los que quieren liquidar España" 🛑#StopIndultos</t>
  </si>
  <si>
    <t>pic.twitter.com/UfW1uiL5VS</t>
  </si>
  <si>
    <t>Cs ComValenciana</t>
  </si>
  <si>
    <t>😞 Sánchez reconoció en el #Pleno con su silencio que pactaría indultos con los separatistas, solo por estar un cuarto de hora más en Moncloa... 👉 Hoy @Albert_Rivera pide que se impidan los indultos a los políticos que dieron un golpe a la democracia ⛔️ #STOPIndultos</t>
  </si>
  <si>
    <t>pic.twitter.com/gkTq4OffsL</t>
  </si>
  <si>
    <t>Comunidad Valenciana. España</t>
  </si>
  <si>
    <t>Perfil oficial de @CiudadanosCs en la Comunidad Valenciana. 📲Conecta con nosotros en Facebook https://goo.gl/hZo8B2X y en Instagram https://goo.gl/hZUHsL</t>
  </si>
  <si>
    <t>http://cortes-valencianas.ciudadanos-cs.org</t>
  </si>
  <si>
    <t>Cuando Albert Rivera sí pone etiquetas: extrema izquierda, populistas, bolivarianos y chavistas</t>
  </si>
  <si>
    <t>http://www.youtube.com/watch?v=3RktiXmHE5g
https://www.veoinfo.com/cuando-albert-rivera-si-pone-etiquetas-extrema-izquierda-populistas-bolivarianos-y-chavistas/</t>
  </si>
  <si>
    <t>☝🏻 @Albert_Rivera fue directo en el Congreso cuando le preguntó a Sánchez por los que dieron un golpe a la democracia: ¿Piensa indultarles si hay condena y usted es presidente, sí o no? ❌ Sánchez calló ❌ Esto es el sanchismo 👉 #STOPIndultos</t>
  </si>
  <si>
    <t>https://pbs.twimg.com/media/DsdlSyaX4AI7h2c.jpg</t>
  </si>
  <si>
    <t>SIR PATRICK KLUIFARP</t>
  </si>
  <si>
    <t>He escuchado hoy a Albert Rivera en la @La_SER hacer todo tipo de malabares para no calificar a Vox como extrema derecha.....pues eso, como diria aquel... R E T R A T A D O</t>
  </si>
  <si>
    <t>📽 @Albert_Rivera "Lo único bueno que Sánchez puede hacer en lo que queda de legislatura es el decreto de convocatoria de elecciones" #STOPIndultos</t>
  </si>
  <si>
    <t>CEO de mis asuntos. FCBarcelona. Socio del Baskonia &amp; Alaves . Vitoria-Gasteiz.</t>
  </si>
  <si>
    <t>pic.twitter.com/Jw1JhdbHJ7</t>
  </si>
  <si>
    <t>Veremos a ver si realmente los políticos están al lado de sus militares en esta concentración dándoesu apoyo y ánimo #45sindespidos #LeyDeCarreraMilitarÚnica @45sindespidos @Albert_Rivera @Pablo_Iglesias_ @pablocasado_ @sanchezcastejon @ExpositoCOPE @eduardoinda @Congreso_Es</t>
  </si>
  <si>
    <t>Lola Benito Moreno</t>
  </si>
  <si>
    <t>https://pbs.twimg.com/media/DsdlLTtXoAI83VW.jpg</t>
  </si>
  <si>
    <t>Albert ||*||🎗</t>
  </si>
  <si>
    <t>Que paséis un feliz #20N @Albert_Rivera @pablocasado_ @Santi_ABASCAL @CiudadanosCs @PPopular @vox_es</t>
  </si>
  <si>
    <t>Laura ☭</t>
  </si>
  <si>
    <t>¿No decia Ferreras esta mañana en el @DebatAlRojoVivo que Albert Rivera no es fascista? 🤔 Baia baia RT @eldiarioes: ÚLTIMA HORA | PP y Ciudadanos se abstienen en la condena del Senado al franquismo</t>
  </si>
  <si>
    <t>Ciutadà de la República Catalana.Director de la Mútua Sant Esteve de les Roures @mutuaSEDR Donec Perficiam *X</t>
  </si>
  <si>
    <t>I quite like disgusting things. For the Horde.</t>
  </si>
  <si>
    <t>https://curiouscat.me/DafneStark_</t>
  </si>
  <si>
    <t>Cs Logroño</t>
  </si>
  <si>
    <t>📽️ @Albert_Rivera "¿Va Sánchez a prometer indultos a aquellos que han intentado romper nuestra democracia? 😡 Es inmoral que Sánchez quiera dar indultos a cambio de apoyo para mantenerse un cuarto de hora más en La Moncloa. ⛔️ #STOPIndultos</t>
  </si>
  <si>
    <t>Jose Juan</t>
  </si>
  <si>
    <t>Albert Rivera sólo apoyará un gobierno que presida Cs</t>
  </si>
  <si>
    <t>pic.twitter.com/ulKeNcKLuI</t>
  </si>
  <si>
    <t>https://www.larazon.es/local/andalucia/rivera-solo-apoyara-un-gobierno-que-presida-cs-NB20563925</t>
  </si>
  <si>
    <t>Logroño, España</t>
  </si>
  <si>
    <t>Perfil oficial de Ciudadanos Logroño. Síguenos también en Facebook: https://www.facebook.com/Cs-Logro%C3%B1o-1211147238980892/</t>
  </si>
  <si>
    <t>redondela</t>
  </si>
  <si>
    <t>solo se que no se nada y cuanto mas se mas pienso que me queda mucho</t>
  </si>
  <si>
    <t>http://blogjjredondela.blogspot.com/</t>
  </si>
  <si>
    <t>Luis Joaquín</t>
  </si>
  <si>
    <t>Albert Rivera y Manuel Valls entran en crisis. Valls quiere ponerle cornamenta con el PSC  vía @hisomatemps</t>
  </si>
  <si>
    <t>https://somatemps.me/2018/11/21/albert-rivera-y-manuel-valls-entran-en-crisis-valls-quiere-ponerle-cornamenta-con-el-psc/</t>
  </si>
  <si>
    <t>Ciudadanos Palencia</t>
  </si>
  <si>
    <t>🎥@Albert_Rivera hizo una pregunta muy sencilla en el Congreso: ¿Señor Sánchez, va a prometer usted indultos a los que han intentado romper nuestra democracia? El señor presidente fue incapaz de contestar. Desde @CiudadanosCs lo decimos bien alto #StopIndultos</t>
  </si>
  <si>
    <t>pic.twitter.com/0b9cEXqQbO</t>
  </si>
  <si>
    <t>Perfil Oficial de Ciudadanos (Cs) Palencia, surgido de un movimiento de ciudadanos que quieren regenerar la política española.</t>
  </si>
  <si>
    <t>KiKeNiCo</t>
  </si>
  <si>
    <t>Albert Rivera se ha sacado el máster de analista político en una tarde.</t>
  </si>
  <si>
    <t>https://pbs.twimg.com/media/DsjQp1WXQAA5JFR.jpg</t>
  </si>
  <si>
    <t>Manuel Montalvo</t>
  </si>
  <si>
    <t>Tan solo @Albert_Rivera y @CiudadanosCs han defendido la independencia de poder judicial y se han manifestado bien alto y claro que a los que han querido romper la unidad de España 🇪🇸 con un Golpe de Estado no se les debe ni se les puede indultar #STOPindultos</t>
  </si>
  <si>
    <t>Mêlée Island</t>
  </si>
  <si>
    <t>Libreprensador de bocatas, pedante gratuito y polipatético profesional. Chops y tontás' a puñaícos.</t>
  </si>
  <si>
    <t>https://goo.gl/khXTdD</t>
  </si>
  <si>
    <t>https://pbs.twimg.com/media/DsdkZXAXgAATrf-.jpg</t>
  </si>
  <si>
    <t>Abogado, ciudadano digital , viajero incansable amante de la fotografía y la naturaleza que #MiMaaCordoba</t>
  </si>
  <si>
    <t>https://www.facebook.com/manuel.montalvo.73</t>
  </si>
  <si>
    <t>Hoy en el programa de @PepaBueno , Albert Rivera no sabía como calificar a Vox , porqué no es analista político Yo tampoco lo soy , pero aún así se ver , que si no condenas en franquismo , es porqué eres facha de cojones RT @ElHuffPost: ÚLTIMA HORA: El Senado condena al franquismo con la abstención del PP, Ciudadanos, UPN y Foro Asturias</t>
  </si>
  <si>
    <t>⛔️Hoy @Albert_Rivera dice #STOPIndultos en el Congreso 🏛 👉No permitiremos que se cumpla el Pacto de los Indultos entre PSOE, Podemos y los partidos separatistas ⤵️</t>
  </si>
  <si>
    <t>https://pbs.twimg.com/media/DsdkUtEXoAAUSxv.jpg</t>
  </si>
  <si>
    <t>Bassel</t>
  </si>
  <si>
    <t>Piedras contra Albert Rivera en Alsasua que nadie vió. Violencia de los presos políticos catalanes en las calles catalanas que nadie vió. Escupitajos contra borrell de uno ERC que nadie ha visto. Muchos casos paranormales para cuarto milenio veo yo!</t>
  </si>
  <si>
    <t>torrontis</t>
  </si>
  <si>
    <t>El #STOPIndultos pone nervioso a @sanchezcastejon Más veces de las que negó Pedro el apostol, ignoró este Pedro a @Albert_Rivera</t>
  </si>
  <si>
    <t>Salamanca, España</t>
  </si>
  <si>
    <t>Sólo vine a escribir... Si me siguen sigo... No quiero líos no interactuo... No estoy ni vengo a por nadie... Gracias</t>
  </si>
  <si>
    <t>https://pbs.twimg.com/media/DsdkAnbWkAIjNAs.jpg</t>
  </si>
  <si>
    <t>Cerca de algún Jamón Serrano</t>
  </si>
  <si>
    <t>Me ofrezco para dirigir a la selección española de fútbol. Se van a enterar!.</t>
  </si>
  <si>
    <t>A Borrell lo que le pasa es que le habría gustado que la saliva fuera de Albert Rivera.</t>
  </si>
  <si>
    <t>troya</t>
  </si>
  <si>
    <t>Que de collejas te daba @Albert_Rivera 12 meses de impago involuntario en 20, 30 o 40 años no da derecho a saquear nuestros hogares La vida te devolverá tanto saqueo a lo ajeno LADRÓN #SupremaVergüenza</t>
  </si>
  <si>
    <t>pic.twitter.com/SomNUEKpjX</t>
  </si>
  <si>
    <t>Mago Indignado de Oz</t>
  </si>
  <si>
    <t>Alt Penedés</t>
  </si>
  <si>
    <t>Afectada EstafaEstado👊 Activista apartidista desde 2006💪PAH desde Mayo 2009 Expulsada en diferido por BCN DESC CUP en 2016🖕</t>
  </si>
  <si>
    <t>https://stopfamilyevictions.blogspot.com.es/</t>
  </si>
  <si>
    <t>El lado oscuro de tu mente</t>
  </si>
  <si>
    <t>Podemita. Bloguero de opinión política. Harto de la manipulación y perversión del sistema. #45sindespidos #JusticiaSocial #YoSiTeCreo #NoEsAbusoEsViolacion</t>
  </si>
  <si>
    <t>http://elmagoindignadodeoz.blogspot.com</t>
  </si>
  <si>
    <t>El Plural</t>
  </si>
  <si>
    <t>Hasta en tres ocasiones el líder de Ciudadanos eludió responder a la pregunta</t>
  </si>
  <si>
    <t>pic.twitter.com/eifD0ixyQS</t>
  </si>
  <si>
    <t>La actualidad #política que estabas buscando. ¡Bienvenido a #ElPlural! También estamos en Facebook: https://es-es.facebook.com/elpluralcom/</t>
  </si>
  <si>
    <t>http://www.elplural.com</t>
  </si>
  <si>
    <t>𝐌𝐞𝐭𝐚𝐫𝐮</t>
  </si>
  <si>
    <t>Also albert rivera: Ahora resulta que somos fachas RT @eldiarioes: ÚLTIMA HORA | PP y Ciudadanos se abstienen en la condena del Senado al franquismo</t>
  </si>
  <si>
    <t>Sr_Spock 🎗</t>
  </si>
  <si>
    <t>Algo me está pasando, yo, al igual que @Albert_Rivera sólo consigo ver egpanyoles.</t>
  </si>
  <si>
    <t>https://pbs.twimg.com/media/DsdjcWtW0AA5-Yd.jpg</t>
  </si>
  <si>
    <t>Vulcano</t>
  </si>
  <si>
    <t>La lógica es una incertidumbre cierta entre la verdad o falsedad...</t>
  </si>
  <si>
    <t>En mi puta casa como siempre</t>
  </si>
  <si>
    <t>Me gusta JoJo, HxH, Slam Dunk, Berserk y el shitposting, también hago el subnormal. Takehiko Inoue te adoro. Suelo dibujar. Switch: SW-5801-8074-0914</t>
  </si>
  <si>
    <t>https://www.shitpostbot.com/</t>
  </si>
  <si>
    <t>MiMa a Córdoba</t>
  </si>
  <si>
    <t>Tan solo @Albert_Rivera y @CiudadanosCs han defendido la independencia de poder judicial y se han manifestado bien alto y claro que a los que han querido romper la unidad de España 🇪🇸 con un Golpe de Estado no se les debe ni se les puede indultar #STOPIndultos</t>
  </si>
  <si>
    <t>María Garcia</t>
  </si>
  <si>
    <t>Porque son del mismo banda ,,PATRIOTAS de corneta mamando del Dinero Publico ,,¿Por qué Albert Rivera no se atreve a decir que Vox es extrema derecha? Twitter analiza los motivos  @EU_Commission @CasaReal @CiudadanosCs @PSOE @PPopular -</t>
  </si>
  <si>
    <t>https://pbs.twimg.com/media/DsdjbruXQAMGfVh.jpg</t>
  </si>
  <si>
    <t>Córdoba</t>
  </si>
  <si>
    <t>#MiMaaCordoba acerca las cosas de Cordoba y su gente a mas de 51.000 seguidores cordobeses de nacimiento o adopción y a quienes guste su #HistoriaArteyCultura</t>
  </si>
  <si>
    <t>http://www.facebook.com/mimaacordoba</t>
  </si>
  <si>
    <t>Para los que no tenemos creencias, la democracia es nuestra religión.</t>
  </si>
  <si>
    <t>🎥 @Albert_Rivera hizo una pregunta muy sencilla en el Congreso 👉 ¿Señor Sánchez, va a prometer usted indultos a los que han intentado romper nuestra democracia? A lo que el señor presidente fue incapaz de contestar. Nosotros decimos bien alto #StopIndultos</t>
  </si>
  <si>
    <t>pic.twitter.com/Xc6oqUL7we</t>
  </si>
  <si>
    <t>eldiario.es</t>
  </si>
  <si>
    <t>Cuando Albert Rivera sí pone etiquetas: extrema izquierda, populistas, bolivarianos, chavistas y golpistas  Por @Jtravieso</t>
  </si>
  <si>
    <t>Oscar salto acevedo</t>
  </si>
  <si>
    <t>....se puede decir más alto, pero no más claro sr. @Albert_Rivera RT @superwomanroja: Hola @Albert_Rivera, yo soy madrileña y también estoy a favor del derecho de autodeterminación. Es más, no hay democracia sin ese derecho. No es defender la independencia, es defender la democracia. Lo entiende cualquier demócrata pero tú no eres demócrata, tú eres un fascista.</t>
  </si>
  <si>
    <t>https://pbs.twimg.com/media/DsjN7JiWoAAYO7E.jpg</t>
  </si>
  <si>
    <t>Periodismo a pesar de todo. Colabora: Hazte socio -- http://www.eldiario.es/socios/alta.html</t>
  </si>
  <si>
    <t>http://www.eldiario.es</t>
  </si>
  <si>
    <t>vallekano,rayista hasta la médula,y residente en Humanes de Madrid .Politica,fútbol .... y lo q os de la gana, siempre desde el respeto.... cago en to</t>
  </si>
  <si>
    <t>🏛 @Albert_Rivera “Hoy se vota una moción histórica para decidir si se van a conceder indultos a los que han intentado liquidar España. Vamos a salir de dudas y ver quién va a formar parte del constitucionalismo o quién se borra y se une al sanchismo” #StopIndultos</t>
  </si>
  <si>
    <t>https://pbs.twimg.com/media/DsdiG07WoAI-HbF.jpg</t>
  </si>
  <si>
    <t>Según @carmencalvo_ si le hubieran preguntado a @sanchezcastejon la respuesta hubiera sido esta Ahora el Presidente de Gobierno da la callada por respuesta a @Albert_Rivera ante posibles indultos a los presos políticos tras las presiones a la abogacía del Estado #STOPindultos</t>
  </si>
  <si>
    <t>pic.twitter.com/ilZpkXE8pV</t>
  </si>
  <si>
    <t>Cyra de la Cruz</t>
  </si>
  <si>
    <t>Avergonzada de ver cómo el Presidente del Gobierno de mi país no se atreve a contestar a la pregunta de @Albert_Rivera : ¿Va usted a indultar a los organizadores del referéndum ilegal, los q pusieron en jaque ntra democracia? Su silencio le delata #STOPIndultos</t>
  </si>
  <si>
    <t>https://pbs.twimg.com/media/DsdhEHtXoAA1M9s.jpg</t>
  </si>
  <si>
    <t>Concejal por Ciudadanos Ayuntamiento Bormujos - La gente inteligente habla de ideas, los mundanos, de acontecimientos, y los mediocres hablan de otras personas</t>
  </si>
  <si>
    <t>🍊👉 @Albert_Rivera a los socialistas sensatos: 🗳 “Los que han votado por el PSOE pero no aceptan indultos, ni chantajes de nacionalistas, ni les gusta el sanchismo, tienen su casa en Cs” 🇪🇸 ¡Necesitamos un proyecto de unidad, justicia e igualdad para España! #StopIndultos</t>
  </si>
  <si>
    <t>https://pbs.twimg.com/media/DsdhBpBWkAA1LCM.jpg</t>
  </si>
  <si>
    <t>vicente diaz montero</t>
  </si>
  <si>
    <t>CONLAVENIA</t>
  </si>
  <si>
    <t>El “golpe al Estado” perpetrado por los separatistas “no puede quedar impune”. #STOPIndultos Hoy Cs en el Congreso se posiciona en contra de que Sanchez indulte condenados por la justicia en una nueva demostración de integridad política de @Albert_Rivera</t>
  </si>
  <si>
    <t>Albert Rivera sobre: PP y PSOE: El bipartidismo malo. Podemos: Populistas malos. Indepes: Nacionalistas malos. VOX: No opino. Por que del ataque a VOX perdería votos y él se debe a eso y al IBEX.</t>
  </si>
  <si>
    <t>https://pbs.twimg.com/media/DsdFkUeWkAAYpRH.jpg</t>
  </si>
  <si>
    <t>Master prince</t>
  </si>
  <si>
    <t>¿Dónde están los derechos de estos niños? @sanchezcastejon @Pablo_Iglesias_ @pablocasado_ @Albert_Rivera #20DeNoviembre #DiaInternacionaldelNino #saharalibre</t>
  </si>
  <si>
    <t>https://pbs.twimg.com/media/Dsdg0X0WkAQ_0FF.jpg</t>
  </si>
  <si>
    <t>En los sueños perdidos. Jaén</t>
  </si>
  <si>
    <t>♂No me gustan los mediocres ni los cobardes. shake it off. #saharalibre</t>
  </si>
  <si>
    <t>Rossina</t>
  </si>
  <si>
    <t>Érase una vez Santi Abascal y Albert Rivera viviendo una historia de amor en ‘El Gato al Agua’ -</t>
  </si>
  <si>
    <t>6keta</t>
  </si>
  <si>
    <t>https://www.publico.es/tremending/2018/10/09/erase-una-vez-santi-abascal-y-albert-rivera-viviendo-una-historia-de-amor-en-el-gato-al-agua/</t>
  </si>
  <si>
    <t>Si toda la corrupción que salpica al @PPopular estuviera salpicando a partidos independentistas, tendríamos a una @InesArrimadas y a un @Albert_Rivera montados en cólera pidiendo la ilegalización de los mismos. Peeeero como son de extrema derecha como ellos... pues ni mú 😶</t>
  </si>
  <si>
    <t>Roja, de convicciones fuertes, Igualitaria.</t>
  </si>
  <si>
    <t>Sóc catalana i no tinc cap problema amb els espanyols de bé. Ara: si ets un fatxa o un neandertal, no et sorprengui que et bloqui,no m'agrada perdre el temps 😉</t>
  </si>
  <si>
    <t>¿Condenarán @albert_rivera o @pablocasado_ las barbaridades que dice Luis Alfonso de Borbón defendiendo a un criminal genocida? ¿Harán siquiera referencia a ello? ¿O más bien le estarán aplaudiendo? (eso sí, escondidos)</t>
  </si>
  <si>
    <t>Avil Ramírez Mayorga</t>
  </si>
  <si>
    <t>Señores del Gobierno de España @sanchezcastejon @JosepBorrellF @AECID_es @MAECgob @UEenNicaragua @Albert_Rivera @PSOE sujetos afines al gobierno nicaragüense acaban de detener ilegalmente a un ciudadano español en el Departamento de Rivas. Tomen cartas en el asunto #SOSNicaragua</t>
  </si>
  <si>
    <t>https://pbs.twimg.com/media/DsdWBNHVYAAsOSi.jpg</t>
  </si>
  <si>
    <t>Managua, Nicaragua</t>
  </si>
  <si>
    <t>Ciudadano nicaragüense. if you ain’t first, you’re last #SOSNicaragua 🇳🇮</t>
  </si>
  <si>
    <t>#VenezolanoPatriota</t>
  </si>
  <si>
    <t>#DIRECTO @CiudadanosCs Falso Arrastrado Franco ha muerto y la dictadura de la monarquia vigente ( @Albert_Rivera Falso ) Desprestigiados arrastrados a la ultra derecha de #Venezuela aliados con los terroristas de MUD, PrimeroJusticia, Gusanos.</t>
  </si>
  <si>
    <t>https://pbs.twimg.com/media/DsdTYzVXcAEXpyo.jpg</t>
  </si>
  <si>
    <t>- La niña de la curva. - El hombre de las nieves. - El monstruo del lago Ness. - Las piedras a Albert Rivera. - El escupitajo a Borrell.</t>
  </si>
  <si>
    <t>Comerciante PATRIOTA y Leal al legado del Cmdte Supremo Hugo Chavez Venceremos el blokeo y la guerra contra el pueblo humilde.! ¡Venceremos!</t>
  </si>
  <si>
    <t>Más influyentes ahora en Derecha/Centro Dcha.: ➀ @pepito_garca ↑ ➁ @Santi_ABASCAL ↓ ➂ @ldpsincomplejos ↑ ➃ @currusquita ↓ ➄ @hermanntertsch ↑ ➅ @CristinaSegui_ ↑ ➆ @Albert_Rivera ↑ ➇ @Anonymus_ES ↓ ➈ @alhucema66 ↓</t>
  </si>
  <si>
    <t>Magistrados del Supremo aplauden la renuncia de Marchena: "Es un reto ético"  vía @indpcom Los grandes retos éticos son invencibles. @Albert_Rivera @CiudadanoVille @InesArrimadas</t>
  </si>
  <si>
    <t>https://www.elindependiente.com/politica/2018/11/20/magistrados-del-supremo-aplauden-la-renuncia-marchena-reto-etico/?utm_source=share_buttons&amp;utm_medium=twitter&amp;utm_campaign=social_share</t>
  </si>
  <si>
    <t>Aitzol</t>
  </si>
  <si>
    <t>#LaVidaModerna es que te llame Albert Rivera para saber si estas contento con tu partido actual</t>
  </si>
  <si>
    <t>Rivera (@Albert_Rivera) pide a Sánchez (@sanchezcastejon) y Casado (@pablocasado_) que rompan el "pacto de la vergüenza" del CGPJ y cambien el sistema de nombramientos</t>
  </si>
  <si>
    <t>http://www.atlas-news.com/agencia-internet/politica/Madrid-Senado-spam-politico-partidos-propaganda-electoral-WhatsApp-redes_sociales-correo_electronico_3_1509479077.html</t>
  </si>
  <si>
    <t>https://bit.ly/2S5YPi4</t>
  </si>
  <si>
    <t>pic.twitter.com/J6p6QXdoxx</t>
  </si>
  <si>
    <t>La persiana del negocio de los padres de @Albert_Rivera ha amanecido nuevamente señalada con pintadas. Nunca nos cansaremos de condenar estos actos salvajes de los lazis supremacistas e intolerantes que quieren romper la convivencia pacífica y la patria.</t>
  </si>
  <si>
    <t>https://pbs.twimg.com/media/DsdPYgHWoAAyfpz.jpg</t>
  </si>
  <si>
    <t>.@DiazCanelB @CasaReal @sanchezcastejon @pablocasado_ @Albert_Rivera Entonces no vamos a destacar al cubano por respetar las instituciones, por su música, por la lírica, sino por los salvajes que son para robar y dar golpes a mujeres negras cubanas.. RT @RuthIliana46: Para tener valor para insultar, golpear a mujeres cubanas respetuosas con el Jefe del Estado Español, porque los cubanos no saben expresar sus argumentos con dignidad cara a cara ya eso no existe..</t>
  </si>
  <si>
    <t>https://twitter.com/RuthIliana46/status/1064906226226683909
https://twitter.com/RuthIliana46/status/1064905580014432257</t>
  </si>
  <si>
    <t>Jorge Muga</t>
  </si>
  <si>
    <t>Albert Rivera que lleva años hablando de “separatistas, bolivarianos y proetarras” le piden que defina a Vox y no lo hace porque “no es analista político”, imposible no reirte</t>
  </si>
  <si>
    <t>Ser un Tusitala</t>
  </si>
  <si>
    <t>Sr. Abascal @Santi_ABASCAL hoy es un día muy importante para ud. y los suyos @vox_es le pedimos mucha moderación en sus celebraciones y que lea esto  hay personas muy preocupadas... @soyturiaso @pablocasado_ @Pablo_Iglesias_ @Albert_Rivera @sanchezcastejon</t>
  </si>
  <si>
    <t>https://goo.gl/YQ1pdq</t>
  </si>
  <si>
    <t>V.G. Varela</t>
  </si>
  <si>
    <t>Cuando Albert Rivera sí pone etiquetas: extrema izquierda, populistas, b...  vía @YouTube</t>
  </si>
  <si>
    <t>Ser un Tusitala, el blog del que todo el mundo habla. (A la venta en libro). Nuevo novela de ficción: "El Verano de Natalie Davis" @halcombenorilsk.</t>
  </si>
  <si>
    <t>https://goo.gl/p9XVc1</t>
  </si>
  <si>
    <t>https://youtu.be/3RktiXmHE5g</t>
  </si>
  <si>
    <t>Vigo</t>
  </si>
  <si>
    <t>LUALBENTO</t>
  </si>
  <si>
    <t>16 horas National Geographic, Dictadores (T1) ep4 - nada sospechosos de izquierdosos ni de historiadores parciales, Franco y sus comienzos de crímenes etc. Recomendado ver en todas Tv Españolas y repetirlo. @Albert_Rivera @Pablo_Iglesias_ @sanchezcastejon</t>
  </si>
  <si>
    <t>Oviedo, España</t>
  </si>
  <si>
    <t>👉 @Albert_Rivera 'Lo único bueno que Sánchez puede hacer en lo que queda de legislatura es el decreto de convocatoria de elecciones' 🗞 Puedes leer más a continuación:</t>
  </si>
  <si>
    <t>Mr Mafia</t>
  </si>
  <si>
    <t>Albert Rivera negándose a definir a Vox</t>
  </si>
  <si>
    <t>https://pbs.twimg.com/media/DsdKq-sX4AAazqV.jpg</t>
  </si>
  <si>
    <t>https://pbs.twimg.com/media/DsjJTSAXcAAZ2ZZ.jpg</t>
  </si>
  <si>
    <t>This is the story of a man who conquered life drink in hand // One Piece // Ingeniería informática de Software en la US</t>
  </si>
  <si>
    <t>https://twitter.com/yonkiou</t>
  </si>
  <si>
    <t>🏛@Albert_Rivera : "Marchena pone la dignidad; Casado y Sánchez, la vergüenza" #EleccionesYa</t>
  </si>
  <si>
    <t>bertaisabel</t>
  </si>
  <si>
    <t>Me ha gustado un vídeo de @YouTube ( - FASCISTAS contra GOLPISTAS (Albert Rivera - Joan Tardá)).</t>
  </si>
  <si>
    <t>Toledo, Spain</t>
  </si>
  <si>
    <t>Teaches: Advanced Spanish: Language &amp; Culture at the State University of NY. Expert in e-Learning &amp; Teaching Online. #ELE</t>
  </si>
  <si>
    <t>http://www.linkedin.com/in/bertaisabelcuadradoalvarez</t>
  </si>
  <si>
    <t>.@Albert_Rivera “Subir los impuestos, machacar a los autónomos y negociar los presupuestos en la cárcel no es bueno para España. Esta legislatura está agotada, y lo único bueno que Pedro Sánchez puede hacer es convocar #EleccionesYa”.</t>
  </si>
  <si>
    <t>https://pbs.twimg.com/media/DsdGlxjWkAAK0W5.jpg</t>
  </si>
  <si>
    <t>Aragorn de Mordor</t>
  </si>
  <si>
    <t>Si fuera Albert Rivera estaría llamando a Edmundo Bal para ficharlo.</t>
  </si>
  <si>
    <t>Más comentados ahora en Derecha/Centro Dcha.: ➀ @Santi_ABASCAL ↑ ➁ @pepito_garca ↓ ➂ @sanchezcastejon ↓ ➃ @ldpsincomplejos ↑ ➄ @currusquita ↓ ➅ @PSOE ↓ ➆ @PPopular ↑ ➇ @susanadiaz ↓ ➈ @alhucema66 ↓ ➉ @Albert_Rivera ↑</t>
  </si>
  <si>
    <t>Tu le connais, lecteur, ce monstre délicat.</t>
  </si>
  <si>
    <t>María José</t>
  </si>
  <si>
    <t>🏛 @Albert_Rivera "Tiren a la basura el pacto de la vergüenza y pidan disculpas a los españoles y a los jueces y fiscales. Yo quiero vivir en un país de ciudadanos libres e iguales que vuelvan a confiar en el poder judicial" en @Congreso_Es RT @PoderJudicialEs: Comunicado del presidente de la Sala Segunda del Tribunal Supremo, Manuel Marchena</t>
  </si>
  <si>
    <t>https://twitter.com/poderjudiciales/status/1064781272483012609</t>
  </si>
  <si>
    <t>https://pbs.twimg.com/media/Dsbc60fXcAAG1t9.jpg</t>
  </si>
  <si>
    <t>La Coruña, España</t>
  </si>
  <si>
    <t>Portavoz de C’s Cambre. Secretaría Acción Institucional Galicia. Autónoma,madre, montañera y colaborando en política ¡siempre hacia adelante !</t>
  </si>
  <si>
    <t>Alejandro Hervás</t>
  </si>
  <si>
    <t>http://flip.it/HQAwji</t>
  </si>
  <si>
    <t>Politicos @sanchezcastejon @Pablo_Iglesias_ @Albert_Rivera que pasa con la bombona de butano? esto es serio joder!!</t>
  </si>
  <si>
    <t>Realizador TV</t>
  </si>
  <si>
    <t>http://alexplusextend.blogspot.com.es</t>
  </si>
  <si>
    <t>Antes El Señor Don Jaime Alfonsin era el Jefe de la Secretaria, hoy es el Jefe de la Casa del Rey Felipe VI @CasaReal @pablocasado_ @Albert_Rivera @sanchezcastejon Profundamente respetuosas con la Constitución española, con la figura del Jefe del Estado...</t>
  </si>
  <si>
    <t>https://pbs.twimg.com/media/DsdD_CGWkAA5NNs.jpg</t>
  </si>
  <si>
    <t>Somatemps</t>
  </si>
  <si>
    <t>http://somatemps.me/2018/11/21/albert-rivera-y-manuel-valls-entran-en-crisis-valls-quiere-ponerle-cornamenta-con-el-psc/</t>
  </si>
  <si>
    <t>https://pbs.twimg.com/media/DsjGAj1UwAU877t.jpg</t>
  </si>
  <si>
    <t>ArumaSurf ☮️&amp;💜</t>
  </si>
  <si>
    <t>No están hoy en misa el Sr. @pablocasado_ y el Sr. @Albert_Rivera ? Porque ya sabemos que @Santi_ABASCAL lo está dejando para la misa de las 20:00 #20N #20DeNoviembre</t>
  </si>
  <si>
    <t>Catalanitat és Hispanitat</t>
  </si>
  <si>
    <t>http://somatemps.me</t>
  </si>
  <si>
    <t>proanimalista, vegetariana, atea, feminista, Republicana, deportista</t>
  </si>
  <si>
    <t>El BOCA-CHANCLA: #Escandalo #Vergüenza @PSOE #PSOE @sanchezcastejon @desdelamoncloa @susanadiaz @AndaluciaJunta @PPopular @vox_es @CiudadanosCs @Albert_Rivera @pablocasado_ @Santi_ABASCAL #Templarios #EspanaViva #MasAndalucia #AndaluciaPorEspaña RT @ElAngelFacha: APLÍCATE TU CUENTO Y ELECCIONES YA @sanchezcastejon</t>
  </si>
  <si>
    <t>https://twitter.com/ElAngelFacha/status/1064880718600445955
https://www.abc.es/espana/abci-sanchez-sobra-mucha-prepotencia-y-soberbia-201811152127_video.html?fbclid=IwAR3VtRH7XpbAkLrPArehVzJMjESeXrDhKpMJIt9znKS0ffXVtwn6XtsqxQM</t>
  </si>
  <si>
    <t>Cuando Ciudadanos tachaba de "espectáculo" el fletar autobuses políticos</t>
  </si>
  <si>
    <t>Dm2</t>
  </si>
  <si>
    <t>Damas y caballeros el señor @Albert_Rivera volvió a hacerlo, volvió a manipular y tergiversar las palabras de @TeresaRodr_ , podemos no a estado ni estará a favor del independentismo catalán,podemos está a favor del derecho a decidir, pero qué va ha saber de decidir un fascista.</t>
  </si>
  <si>
    <t>https://pbs.twimg.com/media/DsdAKcNWwAAaYAz.png</t>
  </si>
  <si>
    <t>Albert Rivera sobre si VOX es un partido de ultraderecha: "No soy analista político" 🕵🏻‍♂️Yo sí soy analista política podemita y orgullosa, Albert Rivera es una extrema derecha ¬¬ eso los dejo a ustedes. eeah!! 😂</t>
  </si>
  <si>
    <t>https://pbs.twimg.com/media/DsjFTCJWkAAGRYC.jpg</t>
  </si>
  <si>
    <t>#España @Albert_Rivera: 'Lo único bueno que Sánchez puede hacer en lo que queda de legislatura es el decreto de convocatoria de elecciones' @CiudadanosCs</t>
  </si>
  <si>
    <t>http://www.lacerca.com/noticias/espana/rivera-unico-bueno-queda-legislatura-decreto-convocatoria-elecciones-445744-1.html</t>
  </si>
  <si>
    <t>josesanfru</t>
  </si>
  <si>
    <t>#SOSPRIONES #PrisionesenHuelga #yprisionespácuando #cpdueñas @guardiacivil @interiorgob @gobiernoespa @Albert_Rivera @PPopular @PSOE Cp.Dueñas</t>
  </si>
  <si>
    <t>Ciudadanos pide que la ministra Delgado comparezca urgentemente por la destitución del abogado del Estado en la causa del golpe separatista.</t>
  </si>
  <si>
    <t>pic.twitter.com/2DikakcGbf</t>
  </si>
  <si>
    <t>https://www.vozpopuli.com/_471b7615</t>
  </si>
  <si>
    <t>#SOSPRIONES #PrisionesenHuelga #yprisionespácuando #cpdueñas @guardiacivil @interiorgob @gobiernoespa @Albert_Rivera @PPopular @PSOE @policia Cp Dueñas en lucha</t>
  </si>
  <si>
    <t>Pascal Giovanni</t>
  </si>
  <si>
    <t>pic.twitter.com/EVujApeRnW</t>
  </si>
  <si>
    <t>https://www.youtube.com/attribution_link?a=B37EHw9PSJQ&amp;u=%2Fwatch%3Fv%3D3RktiXmHE5g%26feature%3Dshare</t>
  </si>
  <si>
    <t>Martinique</t>
  </si>
  <si>
    <t>Alejandro, el manchego Cadizgradista</t>
  </si>
  <si>
    <t>¿Han dicho ya @pablocasado_ , @Albert_Rivera y @Santi_ABASCAL que están en contra del “andalú” y que van a enseñar a hablar a los andaluces en un español castellano exquisito o todavía están con cataluña y la extinta hace casi 7 años ETA?</t>
  </si>
  <si>
    <t>Cuando Albert Rivera sí pone etiquetas: extrema izquierda, populistas, b...  via @YouTube</t>
  </si>
  <si>
    <t>Castilla la Mancha</t>
  </si>
  <si>
    <t>1977-____ Lo mejor que tengo es “La polla en tu recto”. “La crítica debe ser siempre destructiva porque todo lo demás es asesoramiento” Otegi, gran político.</t>
  </si>
  <si>
    <t>Israel Rguez Barrios</t>
  </si>
  <si>
    <t>Pues va a tener razón @Albert_Rivera</t>
  </si>
  <si>
    <t>Leandro</t>
  </si>
  <si>
    <t>#LaSilenciosaCat #EleccionesGeneralesYA #YoNoSoyFachaSoyEspañol ? Quizás porque Vox NO es extrema derecha?...</t>
  </si>
  <si>
    <t>Spain, Europe, Earth España</t>
  </si>
  <si>
    <t>Analysing, deepening and monitoring Analizando, profundizando y realizando seguimiento RT not FV In love with tourism</t>
  </si>
  <si>
    <t>👏👏¡¡ Esto sí que son 25 segundos de oro de @Albert_Rivera !! A este hipotecado gobierno del Sr. #Sánchez sólo le queda ya una opción: 👉Convocar #EleccionesYa, por el bien de España, y de los españoles. #ActualidadCs</t>
  </si>
  <si>
    <t>pic.twitter.com/NqNRKWubYC</t>
  </si>
  <si>
    <t>Alberto Sanz Blanco</t>
  </si>
  <si>
    <t>Es bochornoso ver cómo se ponen ahora estupendos el @PSOE y el @PPopular tras la renuncia de Marchena. Me gusta el resumen de @Albert_Rivera "La dignidad la ha puesto Marchena y la vergüenza Casado @pablocasado_ y Sánchez @sanchezcastejon"</t>
  </si>
  <si>
    <t>Periodista y analista político. Crítico artístico en @canalhablamos. Informado @telediario_tve opinado @abc_es Antes @Inforadio_UCM Sígueme y sabrás qué pienso</t>
  </si>
  <si>
    <t>http://albertosanzblanco.wordpress.com</t>
  </si>
  <si>
    <t>Andrés De Francisco 🎗</t>
  </si>
  <si>
    <t>El escritor de novelas baratas y sobrevalorado de #PérezReverte se equivoca, a Rufián no lo sentó España en el congreso, lo sentamos nosotros los catalanes. El y España sienta a Rafael Hernando, a Pablo Casado y a Albert Rivera. Caro le sale a los catalanes soportar a España.</t>
  </si>
  <si>
    <t>Catalunya.</t>
  </si>
  <si>
    <t>Coordinadora 25S</t>
  </si>
  <si>
    <t>Porqué no quiere Albert Rivera calificar a VOX como partido de extrema derecha? Por que son lo mismo aunque más acomplejados</t>
  </si>
  <si>
    <t>http://ow.ly/Ccxt30mHPtw</t>
  </si>
  <si>
    <t>https://pbs.twimg.com/media/DsjD8_mXcAIMwEV.jpg</t>
  </si>
  <si>
    <t>🏛 @Albert_Rivera "Sánchez anunció que España acogería un Mundial con Portugal y Marruecos sin acordarlo con ellos ni con la @rfef. Apoyamos que España pueda acoger eventos deportivos, pero estas improvisaciones dañan la imagen de España" en @Congreso_Es</t>
  </si>
  <si>
    <t>La democracia solo es real organizada por la sociedad en su conjunto y no por una clase política al servicio del poder económico. http://Facebook.com/Coordinadora25s</t>
  </si>
  <si>
    <t>http://coordinadora25s.wordpress.com</t>
  </si>
  <si>
    <t>https://pbs.twimg.com/media/Dsc14G6WsAA-Ap2.jpg</t>
  </si>
  <si>
    <t>Más influyentes ahora en Derecha/Centro Dcha.: ➀ @pepito_garca ↑ ➁ @ldpsincomplejos ↑↑ ➂ @currusquita ↑ ➃ @alhucema66 ↓ ➄ @hermanntertsch ↓ ➅ @CristinaSegui_ ↓ ➆ @Albert_Rivera ↓ ➇ @MariaTabarnia ↑ ➈ @jaimehabad ↑</t>
  </si>
  <si>
    <t>Albert Rivera me ha bloqueado, no le gusta que le digan la verdad.</t>
  </si>
  <si>
    <t>📽 @Albert_Rivera "Me avergüenza y me entristece ver cómo se reparten los cromos Sánchez y Casado. El problema no son los jueces; es la politización de la Justicia y el intento de control de los jueces" #MarchenaNOESP</t>
  </si>
  <si>
    <t>pic.twitter.com/ANQxXQvHh8</t>
  </si>
  <si>
    <t>jaime añon</t>
  </si>
  <si>
    <t>Para esto si os ponéis de acuerdo verdad sinvergüenzas? @ahorapodemos @PPopular @PSOE @Albert_Rivera RT @lavozdegalicia: La ley permitirá a los partidos rastrear datos y opiniones políticas sin consentimiento del afectado</t>
  </si>
  <si>
    <t>https://twitter.com/lavozdegalicia/status/1064880170442653696
http://lavoz.gal/fjhbl1</t>
  </si>
  <si>
    <t>CARAVACA AL DIA</t>
  </si>
  <si>
    <t>Inés Arrimadas será la primera presidenta de España  Miguel Hernández Valverde No sé si Albert Rivera será presidente de este país, pero de lo que no tengo muchas dudas es que Inés Arrimadas será la primera mujer que dirigirá España.</t>
  </si>
  <si>
    <t>A CORUÑA</t>
  </si>
  <si>
    <t>38primaveras ,MADRIDISTA, florentinista</t>
  </si>
  <si>
    <t>https://www.caravacaaldia.com/index.php?option=com_content&amp;task=view&amp;id=49004&amp;Itemid=181</t>
  </si>
  <si>
    <t>https://pbs.twimg.com/media/DsjBOtcWkAAHNje.jpg</t>
  </si>
  <si>
    <t>🏛 @Albert_Rivera "Lo único bueno que puede hacer Sánchez es convocar elecciones: subir impuestos, machacar autónomos y negociar presupuestos en la cárcel no es bueno para España. Esta legislatura está agotada; deje de marear a los españoles y ponga las urnas" en @Congreso_Es</t>
  </si>
  <si>
    <t>Caravaca de la Cruz</t>
  </si>
  <si>
    <t>Noticias de Caravaca de la Cruz</t>
  </si>
  <si>
    <t>http://www.caravacaaldia.com</t>
  </si>
  <si>
    <t>https://pbs.twimg.com/media/Dsc1bGCW0AA0WXI.jpg</t>
  </si>
  <si>
    <t>LeyendaUrbana.2018</t>
  </si>
  <si>
    <t>Tan poco os importamos los Españoles, @sanchezcastejon @pablocasado_ @Pablo_Iglesias_ @Albert_Rivera como para que sepáis incapaces de poneros de acuerdo de una vez? RT @COPE: El anteproyecto de la ley de Reforma Educativa limita el crecimiento de los centros concertados. COPE ha tenido acceso al borrador del Gobierno que modifica la LOMCE. Por @carmenlabayen</t>
  </si>
  <si>
    <t>https://twitter.com/COPE/status/1064872236400721922
http://ww.cope.es/srztc1</t>
  </si>
  <si>
    <t>🏛 @Albert_Rivera "Hemos pedido la comparecencia de Calviño, una ministra con una empresa pantalla. Este Gobierno empieza a tener tantas manchas como el Gobierno de Rajoy. ¿Es este el gobierno de la dignidad?" en @Congreso_Es</t>
  </si>
  <si>
    <t>pic.twitter.com/0ioPdnVP0w</t>
  </si>
  <si>
    <t>K@rles🎗</t>
  </si>
  <si>
    <t>Albert Rivera dice que los partidos independentistas son golpistas, terroristas etc, etc pero cuando le preguntan que defina a VOX dice que el no es analista político jajaja, este tío es de risa, cada vez habla se pasa de la raya, si si de la raya.</t>
  </si>
  <si>
    <t>🏛 @Albert_Rivera "Tiren a la basura el pacto de la vergüenza y pidan disculpas a los españoles y a los jueces y fiscales. Yo quiero vivir en un país de ciudadanos libres e iguales que vuelvan a confiar en el poder judicial" en @Congreso_Es</t>
  </si>
  <si>
    <t>https://pbs.twimg.com/media/Dsc0el1WoAAnD0A.jpg</t>
  </si>
  <si>
    <t>Catalunya. 🎗</t>
  </si>
  <si>
    <t>No hagas preguntas incómodas si no tendré que mentirte.</t>
  </si>
  <si>
    <t>🏛 @Albert_Rivera "Cs es el único partido que renunció al #PactoDeCromos. Vamos a proponer una modificación de la ley del poder judicial para que los jueces los escojan los jueces; no Iglesias y Casado" en @Congreso_Es</t>
  </si>
  <si>
    <t>pic.twitter.com/YLR44Ju9Y7</t>
  </si>
  <si>
    <t>El supremacista Torra amenaza con denunciar a @JuanMarin_Cs por decirle la verdad: que es un racista que insulta a todos los españoles que no somos nacionalistas. Valiente y claro, Juan, tienes todo mi apoyo 💪🏼🍊 #TodosConJuan</t>
  </si>
  <si>
    <t>🏛 @Albert_Rivera "Hoy se vota una moción histórica para decidir si se van a conceder indultos a los que han intentado liquidar España. Vamos a salir de dudas y ver quién va a formar parte del constitucionalismo o quién se borra y se une al sanchismo" en @Congreso_Es</t>
  </si>
  <si>
    <t>pic.twitter.com/FwdgBuzPME</t>
  </si>
  <si>
    <t>Mira, en esto estoy de acuerdo con @Albert_Rivera algo es algo @sanchezcastejon @Pablo_Iglesias_ @pablocasado_ RT @europapress: Rivera pide a Sánchez y Casado que rompan el "pacto de la vergüenza" del CGPJ y cambien el sistema de nombramientos</t>
  </si>
  <si>
    <t>https://twitter.com/europapress/status/1064872451430117376
https://bit.ly/2S5YPi4</t>
  </si>
  <si>
    <t>https://pbs.twimg.com/media/Dscv2CgXcAAr-H1.jpg</t>
  </si>
  <si>
    <t>vesteve3</t>
  </si>
  <si>
    <t>¿Por qué Albert Rivera no se atreve a decir que Vox es extrema derecha? #Twitter analiza los motivos -</t>
  </si>
  <si>
    <t>Oficialmente de baja, me han dicho q me resigne a una "vida de princesa". .@Albert_Rivera .@ESPCiudadana @Santitcr. @CiudadanaMartaR Siento no poder acompañaros el 24 en Madrid. Nací para luchar, no para ser princesa!</t>
  </si>
  <si>
    <t>Programador informático, TIC, sensible con la ecología, el medio ambiente y las relaciones laborales http://wp.me/2B3HS http://facebook.com/vesteve3</t>
  </si>
  <si>
    <t>http://vesteve3.wix.com/jo</t>
  </si>
  <si>
    <t>A diestro Y siniestro</t>
  </si>
  <si>
    <t>¿Cuántas veces puede nombrar este tiparraco @Albert_Rivera a Catalunya cuando se está hablando de Andalucía? Esto demuestra q @CiudadanosCs no tiene nada q ofrecer a ningún territorio del estado español, imaginense lo q pueden ofrecer a Catalunya.</t>
  </si>
  <si>
    <t>pic.twitter.com/nYZAnE0ihg</t>
  </si>
  <si>
    <t>Marina Lobo</t>
  </si>
  <si>
    <t>Quiero dedicar este tremending a Albert Rivera. Es mi musa. RT @Tremending: El @Tremending de hoy con título del gran @Xuxipc foto con una genialidad de @elmundotoday y más tuits de @miss_ticas @marinaLobL @puringerMe @GobernoAlem @El_Grouchico @botderusia1 @patriciomr @robotronk1 @norcoreano @BegotxuBoo @moedetriana @PabloMM @Pilimooon y más</t>
  </si>
  <si>
    <t>A mí que venga el candidato del IBEX blanqueado por los medios a insultarnos a los andaluces y a decirnos lo que tenemos que decir y pensar... ustedes en Andalucía os vais a comer un mojón ahín de gordo como tu ego @Albert_Rivera RT @JuanRaBethencou: ¿Quien controla los medios?, el dinero. ¿A cambio de que adulan a los amigotes de los corruptos y los abusadores, e intentan masacrar a quienes están en contra de la corrupción y a favor de los derechos civiles?. A cambio de dinero. De mucho dinero.</t>
  </si>
  <si>
    <t>https://twitter.com/tremending/status/1065310220669337600</t>
  </si>
  <si>
    <t>https://twitter.com/JuanRaBethencou/status/989648207784370182
https://twitter.com/i/broadcasts/1RDGldqoOvqGL</t>
  </si>
  <si>
    <t>Periodista, animalista y de izquierdas, aunque en @ctxt_es dicen que soy de Ciudadanos. Aclaro: no soy familia de Ramón Lobo./http://Instagram.com/marinalobo_l</t>
  </si>
  <si>
    <t>Dulcedelechoza</t>
  </si>
  <si>
    <t>EE.UU. se dispone a incluir a Venezuela en lista de patrocinadores del terrorismo  vía @ABC_Mundo TOMEN NOTA : @sanchezcastejon @Pablo_Iglesias_ @JosepBorrellF @MAECgob @desdelamoncloa @PSOE | @Albert_Rivera @CiudadanosCs @pablocasado_ @PPodemos @CasaReal</t>
  </si>
  <si>
    <t>https://www.abc.es/internacional/abci-eeuu-dispone-incluir-venezuela-lista-patrocinadores-terrorismo-201811200440_noticia.html#ns_campaign=rrss-inducido&amp;ns_mchannel=abc-es&amp;ns_source=tw&amp;ns_linkname=noticia-foto&amp;ns_fee=0</t>
  </si>
  <si>
    <t>Carlos Seijo</t>
  </si>
  <si>
    <t>Albert Rivera, hijo de puta.</t>
  </si>
  <si>
    <t>Bilbao</t>
  </si>
  <si>
    <t>Estudiante publicidad y relaciones públicas.</t>
  </si>
  <si>
    <t>http://www.trois.es</t>
  </si>
  <si>
    <t>Viaje a Cuba  vía @abc_es #PSC RECIBIRA INSTRUCCIONES SOBRE #Venezuela PARA PASAR AGACHAO y OBVIAR LA DENUNCIA INTERNACIONAL SOBRE LA ORGANIZACION CRIMINAL DEL REGIMEN DE MADURO ! ANOTEN : @Albert_Rivera @pablocasado_ @libertaddigital</t>
  </si>
  <si>
    <t>https://www.abc.es/opinion/abci-viaje-cuba-201811200137_noticia.html#ns_campaign=rrss-inducido&amp;ns_mchannel=abc-es&amp;ns_source=tw&amp;ns_linkname=noticia-opinion&amp;ns_fee=0</t>
  </si>
  <si>
    <t>Gus el Sucio</t>
  </si>
  <si>
    <t>Albert Rivera ha dicho hoy algo irrefutable: "No soy analista político" Sublime.</t>
  </si>
  <si>
    <t>David Massó 🎗</t>
  </si>
  <si>
    <t>Mi más sincero pésame @Albert_Rivera @InesArrimadas ya hace años de la muerte del Caudillo pero os entiendo, la muerte de un ser querido cuesta de superar!! Ánimo queridos fachas</t>
  </si>
  <si>
    <t>Soy el hijo de quien no pudieron callar.</t>
  </si>
  <si>
    <t>Catalunya Republik</t>
  </si>
  <si>
    <t>Ciutadà de la República Catalana, Barcelonista, de Barcelona, de Sant Andreu. Estoy aquí para faltar al respeto a todo el facherio político</t>
  </si>
  <si>
    <t>El talante es muy esclarecedor. @AndaluciaJunta @susanadiaz @PSOE #PSOE @sanchezcastejon @desdelamoncloa @PPopular @vox_es @CiudadanosCs @Santi_ABASCAL #Templarios #EspanaViva #MasAndalucia #AndaluciaPorEspaña @Albert_Rivera @pablocasado_ RT @joosearodriguez: Esta es la realidad del PSOE en Andalucía. Estas son las tristes ordenes que se acatan de Susana Díaz en los mitines de las elecciones andaluzas: ¡O dejas de grabar o te quito la acreditación! #DebateCanalSur</t>
  </si>
  <si>
    <t>https://twitter.com/joosearodriguez/status/1064593289305825280</t>
  </si>
  <si>
    <t>pic.twitter.com/TVyZ2OHT9z</t>
  </si>
  <si>
    <t>Hayek</t>
  </si>
  <si>
    <t>#RECTIFIQUEN. No todo está perdido en #España frente al #comunismo: 1° CREAR #GRANCOALICIÓN #CONSTITUCIONALISTA: @Santi_ABASCAL @Albert_Rivera @pablocasado_ 2° HACER #REFORMAS por #DemocraciaLiberal con: separación "real" de poderes, independencia judicial... PRIMER PASO 🎓👇</t>
  </si>
  <si>
    <t>https://pbs.twimg.com/media/DscupZDXcAUQQ29.jpg</t>
  </si>
  <si>
    <t>Tabarnia, Spain</t>
  </si>
  <si>
    <t>Académico 100%. Vital 100%. Liberal 100%. Mejorando el marco institucional de España, Europa y América. Libros: #SalvemosVenezuela #EscuelaEspañolaEconomia</t>
  </si>
  <si>
    <t>Total que más da !!!! #Andalucía se lo traga todo...…. @AndaluciaJunta @susanadiaz @PSOE #PSOE @sanchezcastejon @desdelamoncloa @PPopular @vox_es @CiudadanosCs @Santi_ABASCAL #Templarios #EspanaViva #MasAndalucia #AndaluciaPorEspaña @Albert_Rivera @pablocasado_ RT @currusquita: Ni el 3% ni el 10... Una grabación desvela el presunto cobro del #PSOE andaluz de comisiones del 33% a empresas subvencionadas. Oleeee!! #MarinLoSabia #VotaGarantíadeCambio</t>
  </si>
  <si>
    <t>https://twitter.com/currusquita/status/1064754902658940928
https://digitalsevilla.com/2018/11/16/una-grabacion-desvela-el-presunto-cobro-del-psoe-andaluz-de-comisiones-del-33-a-empresas-subvencionadas/#.W_OdRGiwfHg.twitter</t>
  </si>
  <si>
    <t>P.Viruega</t>
  </si>
  <si>
    <t>JAJAJAJAJ “SIN PALABRAS”  vía @Jota_POV</t>
  </si>
  <si>
    <t>https://jotapov.com/2018/11/21/albert-rivera-evita-calificar-a-vox-como-ultraderecha-no-soy-un-analista-politico/</t>
  </si>
  <si>
    <t>Bromuropuro</t>
  </si>
  <si>
    <t>Ojalá un bar así en Moreda ❤️ Haz algo tio @Albert_Rivera RT @T5Comento: Intenta no vomitar</t>
  </si>
  <si>
    <t>http://page.is/R.Torres</t>
  </si>
  <si>
    <t>https://twitter.com/T5Comento/status/1064504424406622210</t>
  </si>
  <si>
    <t>pic.twitter.com/oMocOr8ULO</t>
  </si>
  <si>
    <t xml:space="preserve">C-137 </t>
  </si>
  <si>
    <t>¿Queréis drogaros?</t>
  </si>
  <si>
    <t>Pa Pi To 🎗🇩🇪</t>
  </si>
  <si>
    <t>¿A @superwomanroja también la vas a bloquear porqué no comulga con tus ideales @albert_rivera y te dice verdades como templos? RT @superwomanroja: Hola @Albert_Rivera, yo soy madrileña y también estoy a favor del derecho de autodeterminación. Es más, no hay democracia sin ese derecho. No es defender la independencia, es defender la democracia. Lo entiende cualquier demócrata pero tú no eres demócrata, tú eres un fascista.</t>
  </si>
  <si>
    <t>Alejandro</t>
  </si>
  <si>
    <t>Jamás pensé que Albert Rivera y Karlos Arguiñano consumían las mismas sustancias... RT @xexu_fernandez: Que no caiga en el olvido</t>
  </si>
  <si>
    <t>https://twitter.com/xexu_fernandez/status/1064997655892377600</t>
  </si>
  <si>
    <t>pic.twitter.com/dAKAbV3hmj</t>
  </si>
  <si>
    <t>Where no man has gone before</t>
  </si>
  <si>
    <t>Pare, DUI i tècnic en Salut Pública, Trekkie, fotògraf amateur i amant del bon cafè, el millor cinema i els bons TBO/còmics. Llarga vida i prosperitat. #LLAP</t>
  </si>
  <si>
    <t>No me gustan muchas cosas, empezando x tí. http://instagram.com/egototi ❤️💛💜</t>
  </si>
  <si>
    <t>Aurelio M. Belando M</t>
  </si>
  <si>
    <t>Rogelio López Blanco</t>
  </si>
  <si>
    <t>Hay que cambiar la ley orgánica del poder judicial. Hartos de las ocurrencias de @Albert_Rivera y de @pablocasado_ y más que Cosido del @PPopular diga que tienen contralado el Consejo General del Poder Judicial 🔴Manuel Marchena renuncia a la Presidencia</t>
  </si>
  <si>
    <t>De Jorge Bustos: “La bancada entera de Ciudadanos se levantó en bloque para aplaudir al ministro de Exteriores, pero la víspera Tardà había llamado fascista siete veces a Albert Rivera y los socialistas...</t>
  </si>
  <si>
    <t>https://elpais.com/politica/2018/11/20/actualidad/1542713687_705619.amp.html?id_externo_rsoc=TW_Bot&amp;__twitter_impression=true</t>
  </si>
  <si>
    <t>Para tener enemigos no hace falta declarar una guerra, basta decir lo que se piensa #MLKjr; #CiudadanoDelMundo #PSOE #_AMBM http://3navegantes.wordpress.com</t>
  </si>
  <si>
    <t>Soy director de la revista electrónica www.ojosdepapel.com, dedicada desde el año 2000 a reseñas de libros, música y cine, opinión, creación literaria y blogs</t>
  </si>
  <si>
    <t>http://3navegantes.wordpress.com/</t>
  </si>
  <si>
    <t>http://www.ojosdepapel.com</t>
  </si>
  <si>
    <t>jorge m. ruiz</t>
  </si>
  <si>
    <t>Albert Rivera no cree que la ultraderecha esté a su derecha. RT @La_SER: Albert Rivera evita calificar a Vox como un partido de ultraderecha La entrevista completa del líder de @CiudadanosCs en @HoyPorHoy con @PepaBueno →</t>
  </si>
  <si>
    <t>Es un auténtico escándalo y la desfachatez de este Sr. es inmensa. #TraidorPsoe #TraidorSanchez @PSOE #PSOE @sanchezcastejon @desdelamoncloa @PPopular @vox_es @CiudadanosCs @Santi_ABASCAL #Templarios #EspanaViva #MasAndalucia #AndaluciaPorEspaña @Albert_Rivera @pablocasado_ RT @Albert_Rivera: “Un gobierno sin presupuestos no gobierna nada”. “Gobernar no consiste en vivir en La Moncloa”. Miren a Sánchez en un ataque de lucidez... Cuando no estaba ocupando La Moncloa, claro. Aplíquese el cuento: #EleccionesYa.</t>
  </si>
  <si>
    <t>https://twitter.com/Albert_Rivera/status/1064605981341114371</t>
  </si>
  <si>
    <t>pic.twitter.com/HXmqLHT8Jn</t>
  </si>
  <si>
    <t>ni de centros ni de derechas</t>
  </si>
  <si>
    <t>Chuletitas</t>
  </si>
  <si>
    <t>¿Para cuándo una nueva expansión del Universo Cinematográfico Marvel que reúna a Gabriel Rufián, Leticia Dolera, Dani Mateo y Albert Rivera JUNTOS? No sé, un grupo de súper villanos que de verdad ponga en aprietos a Los Vengadores.</t>
  </si>
  <si>
    <t>🚮@Albert_Rivera , a Sánchez y Casado: 'Tiren a la basura ese pacto de la vergüenza y voten ley de @CiudadanosCs para que los vocales del CGPJ los elijan jueces'</t>
  </si>
  <si>
    <t>https://www.ciudadanos-cs.org/prensa/rivera-a-sanchez-y-casado-tiren-a-la-basura-ese-pacto-de-la-verguenza-y-voten-ley-de-ciudadanos-para-que-los-vocales-del-cgpj-los-elijan-jueces/11081</t>
  </si>
  <si>
    <t>https://pbs.twimg.com/media/DsctFMqXQAAuClh.jpg</t>
  </si>
  <si>
    <t>Un milagro de la naturaleza. Un monumento al buen gusto. Un icono de la virilidad.</t>
  </si>
  <si>
    <t>Más comentados ahora en Derecha/Centro Dcha.: ➀ @sanchezcastejon ↑ ➁ @PSOE ↓ ➂ @alhucema66 ↑ ➃ @hermanntertsch ↓ ➄ @currusquita ↑ ➅ @PPopular ↑ ➆ @Albert_Rivera ↓ ➇ @CristinaSegui_ ↑ ➈ @Anonymus_ES ↑</t>
  </si>
  <si>
    <t>AsociacionMSPE_Andalucía</t>
  </si>
  <si>
    <t>#DíaUniversalDelNiño #IgualesEnDerechos #CuidadosEnIgualdad #IgualTiempoEnFamilia P Europeo: interés superior del menor en políticas de conciliación @susanadiaz @sanchezcastejon @pablocasado_ @Pablo_Iglesias_ @agarzon @Albert_Rivera @SaveChildrenEs @unicef_es @OxfamIntermon RT @AsociacionMSPE: Los Menores Primero. Desde la @AsociacionMSPE pedimos que todos los menores sean iguales frente a la ley y los cuidados con independencia de su modelo familiar. #DíaUniversalDelNiño #IgualesEnDerechos #CuidadosEnIgualdad</t>
  </si>
  <si>
    <t>https://twitter.com/AsociacionMSPE/status/1064827826636025858</t>
  </si>
  <si>
    <t>https://pbs.twimg.com/media/DscGR62WoAAz02S.jpg</t>
  </si>
  <si>
    <t>Delegación en Andalucía de la Asociación Madres Solteras por Elección. Trabajando en Red reivindicando nuestro modelo de familia.</t>
  </si>
  <si>
    <t>Más influyentes ahora en Derecha/Centro Dcha.: ➀ @alhucema66 ↑ ➁ @hermanntertsch ↓ ➂ @currusquita ↑ ➃ @Albert_Rivera ↓ ➄ @Anonymus_ES ↑ ➅ @CristinaSegui_ ↑ ➆ @ldpsincomplejos ↓ ➇ @manuel_llamas ➈ @COPE ↑ ➉ @Alvisepf ↓</t>
  </si>
  <si>
    <t>#DiaUniversalDelNiño #IgualesEnDerechos con independencia de su modelo familiar. Resolución Parlamento Europeo #CuidadosEnIgualdad #IgualTiempoEnFamilia @IratxeGarper @susanadiaz @sanchezcastejon @pablocasado_ @Pablo_Iglesias_ @agarzon @Albert_Rivera @SaveChildrenEs @unicef_es RT @AsociacionMSPE: Los menores primero. Las niñas y niños de #FamiliasMonoparentales merecen el mismo derecho a tener #CuidadosEnIgualdad #DiaUniversalDelNiño @carmencalvo_ @sanchezcastejon @Albert_Rivera @Pablo_Iglesias_ @pablocasado_</t>
  </si>
  <si>
    <t>https://twitter.com/AsociacionMSPE/status/1064843300983599104</t>
  </si>
  <si>
    <t>https://pbs.twimg.com/media/DscNisKWwAAtAby.jpg</t>
  </si>
  <si>
    <t>Yolanda</t>
  </si>
  <si>
    <t>La primera vez que vi a Albert Rivera en la tele estaba wasapeando con un novio que tenía. Él me dijo: es de centro, parece sensato. Yo contesté: centro es derecha. Ahora Albert no define a VOX como ultraderecha y el señor del que les hablo es mi exnovio.</t>
  </si>
  <si>
    <t>Caraqueña</t>
  </si>
  <si>
    <t>Gracias a.@pablocasado_ y a @Albert_Rivera por luchar en eliminar la dictadura en mi país y ruego que en España nunca permitan que entre ese pseudo socialismo con @ahorapodemos quienes "pintan una igualdad a lo Chavez". RT @PPopular: ▶ @pablocasado_ en los Premios @Cambio16: "Es abochornante que el Gobierno de Pedro Sánchez no quiera llevar a Maduro a la Corte Penal Internacional para acabar con la dictadura. Merecemos una Venezuela libre de una vez por todas".</t>
  </si>
  <si>
    <t>https://twitter.com/PPopular/status/1064835223702122496</t>
  </si>
  <si>
    <t>pic.twitter.com/S590HI75Z4</t>
  </si>
  <si>
    <t>Twitterlandia</t>
  </si>
  <si>
    <t>Esposa, amiga, compañera. Madre enamorada. Cuenta personal. Cafehólica. Venezolana de 7 estrellas 🌟🌟🌟⭐🌟🌟🌟</t>
  </si>
  <si>
    <t>Curioso, ahora en @EspejoPublico el @Albert_Rivera poniendo trabas a la exsumación del dictador y, en @DebatAlRojoVivo @Pablo_Iglesias_ defendiendo a los trabajadores en lucha de @TarjetasRojas</t>
  </si>
  <si>
    <t>VidALeT🎗</t>
  </si>
  <si>
    <t>ÚLTIMA HORA! Eminentes científicos de todo el planeta afirman que el escupitajo q ha recibido Borrell está compuesto del mismo material q la piedras q le llovieron a Albert Rivera en Altsasu.</t>
  </si>
  <si>
    <t>Corresponsabilidad de la sociedad en los cuidados. Parlamento Europeo #DiaUniversalDelNiño #IgualesEnDerechos #CuidadosEnIgualdad @SaveChildrenEs @OxfamIntermon @unicef_es @IratxeGarper @susanadiaz @sanchezcastejon @Pablo_Iglesias_ @pablocasado_ @Albert_Rivera RT @AsociacionMSPE: Los menores primero. Para las #FamiliasMonoparentales la #corresponsabilidad debe estar cubierta por el estado #IgualesEnDerechos #CuidadosEnIgualdad #DiaUniversalDelNiño @unicef_es @SofCastanon @PSOE @SaveChildrenEs</t>
  </si>
  <si>
    <t>Pirata fullero i cabronet</t>
  </si>
  <si>
    <t>https://twitter.com/AsociacionMSPE/status/1064845812834947073</t>
  </si>
  <si>
    <t>https://pbs.twimg.com/media/DscP5ZvWwAAqz49.jpg</t>
  </si>
  <si>
    <t>Ander Ugarte</t>
  </si>
  <si>
    <t>Qué personaje tan impresentable e indigno de representarse ni siquiera a si mismo es también el señor Albert Rivera. Entre Pablo Casado y el compiten a diario por ser el que más. Qué poca carisma hay que tener para confiar en cualquiera de estos dos. Casi hacen bueno a Trump.</t>
  </si>
  <si>
    <t>Araba/Álava, País Vasco</t>
  </si>
  <si>
    <t>Estudiante de Periodismo en UPV/EHU, Leioa. Me gusta todo absolutamente todo lo que me llama la atención. Qué obviedad, ¿no? Pues pocas cosas me la llaman.</t>
  </si>
  <si>
    <t>http://elgranangular.wordpress.com</t>
  </si>
  <si>
    <t>📝 @Albert_Rivera a Sánchez y Casado "Tiren a la basura ese pacto de la vergüenza y voten la ley de @CiudadanosCs para que los vocales del CGPJ los elijan jueces" #JusticiaIndependiente #FiscaliaIndependiente #PactoDeLosCromos 📲 Aquí todos los detalles:</t>
  </si>
  <si>
    <t>https://pbs.twimg.com/media/DscmCMfWwAAs1NJ.jpg</t>
  </si>
  <si>
    <t>Paco Bardes Panyagua</t>
  </si>
  <si>
    <t>Al vocero impuesto por le banca, @Albert_Rivera le queda grande hablar de democracia, porque es un fascista declarado, amigo de Abascal y que prefiere pactar con el PP. SI a la autodeterminacion</t>
  </si>
  <si>
    <t>pic.twitter.com/FtC0wKaClx</t>
  </si>
  <si>
    <t>#ÚltimaHora España y Reino Unido alcanzan un preacuerdo sobre Gibraltar. Le cambiamos los monos y 2 cartones de Winston, por Albert Rivera y le regalamos a Pablo Casado. Ya los mandamos payá</t>
  </si>
  <si>
    <t>pic.twitter.com/dT78EdKmdP</t>
  </si>
  <si>
    <t>DelMundo</t>
  </si>
  <si>
    <t>Antifascista. Republicano. El que quiera Iglesia que se la pague. las verdades NO las cuentan quienes nos mienten.</t>
  </si>
  <si>
    <t>http://contracobardes.blogspot.com.es/?m=1</t>
  </si>
  <si>
    <t>Alejandro Baltanás⚡</t>
  </si>
  <si>
    <t>Lo que @Albert_Rivera no logró lo ha conseguido una oveja 🤣🤣 RT @VidaModernaOML: ¡¡PUES VAMOS A JUICIO!! Lo que nadie ha conseguido, lo ha hecho una OVEJA. →</t>
  </si>
  <si>
    <t>https://twitter.com/VidaModernaOML/status/1064858396317368321
https://www.youtube.com/watch?v=M5ekjrj9gjU</t>
  </si>
  <si>
    <t>https://pbs.twimg.com/media/DsYvQ4pWkAE1rAx.jpg</t>
  </si>
  <si>
    <t>Lucena, España</t>
  </si>
  <si>
    <t>Nunca olvides lo que eres, el resto del mundo no lo hará. Llévalo como una armadura y nunca lo usarán para herirte. Guarire ridendo. ♥️💛💜</t>
  </si>
  <si>
    <t>como impacta la imagen de ver en @EspejoPublico al falangito de @Albert_Rivera un político nefasto para la democracia y ver en @DebatAlRojoVivo al próximo presidente de este país, @Pablo_Iglesias_ RT @DebatAlRojoVivo: 🔴 Pablo Iglesias: "Creo que Cosidó debería dimitir" #SupremoPlantónARV | DIRECTO ➡</t>
  </si>
  <si>
    <t>https://twitter.com/DebatAlRojoVivo/status/1064859503668207617
http://atres.red/4ncii5668</t>
  </si>
  <si>
    <t>https://pbs.twimg.com/media/DsckEyCWsAA6yzQ.jpg</t>
  </si>
  <si>
    <t>mikelino🎗</t>
  </si>
  <si>
    <t>Albert rivera sólo ve golpistas y supremacistas y amigos de golpistas...hasta que le preguntan por vox y dice que el no entra en valoraciones🤣🤣🤣🤣 que lo deja para otros ...valla nivel</t>
  </si>
  <si>
    <t>de izquierda de los de verdad y republicano el machismo mata el fascismo también</t>
  </si>
  <si>
    <t>Superwoman Roja</t>
  </si>
  <si>
    <t>Hola @Albert_Rivera, yo soy madrileña y también estoy a favor del derecho de autodeterminación. Es más, no hay democracia sin ese derecho. No es defender la independencia, es defender la democracia. Lo entiende cualquier demócrata pero tú no eres demócrata, tú eres un fascista.</t>
  </si>
  <si>
    <t>Max</t>
  </si>
  <si>
    <t>🎗🔻Madrileña, antifascista, feminista, republicana, animalista y atea ❤️💛💜</t>
  </si>
  <si>
    <t>Por favor, salgan de España ordenadamente!!!! Orden! Orden!</t>
  </si>
  <si>
    <t>Joder, pongo @EspejoPublico a primera hora de la mañana y me sale el careto del falangito @Albert_Rivera , me voy, trabajo cosa qué él no hace, vuelvo y zasca en toa la boca, otra vez el falanguito. Señores/as de @antena3com por qué no le ponéis la cama y los tranquilizantes.</t>
  </si>
  <si>
    <t>JJ</t>
  </si>
  <si>
    <t>¿Por qué Albert Rivera no se atreve a decir que Vox es extrema derecha? Twitter analiza los motivos -  https%3A%2F%%2Ftremending%2F2018%2F11%2F21%2Fpor-que-albert-rivera-no-se-atreve-a-decir-que-vox-es-extrema-derecha-twitter-anal</t>
  </si>
  <si>
    <t>Pamplona /Iruña (Navarra)</t>
  </si>
  <si>
    <t>Lector incansable. Enamorado de mi pareja, mis tres hijos, el cine y la ciencia. No soporto la desigualdad ni la injusticia. Versión 5.3</t>
  </si>
  <si>
    <t>#DIRECTO | ¿Se avecinan elecciones? Estas son las palabras de @Albert_Rivera. #20N120▶</t>
  </si>
  <si>
    <t>pic.twitter.com/FMqcZCMoI8</t>
  </si>
  <si>
    <t>Ha pasado ya un día y la sala segunda sigue sin precintar para ser investigada y sus jueces sin ser retirados, pero de esto no te dirán nada ni @pablocasado_, ni @Santi_ABASCAL, ni @Albert_Rivera, ni @sanchezcastejon ni esa fascista de Las mañana de a3, ni la de 📺🎪 ni la s6cta</t>
  </si>
  <si>
    <t>Ya quisieramos los andaluces que Albert Rivera y los Cuñaos tuviesen el respeto a Blas Infante y a todos los asesinados por el franquismo que demuestra Quim Torra en este tuit #TodosConJuan</t>
  </si>
  <si>
    <t>https://pbs.twimg.com/media/Dsi1aDQXoAAUaCv.jpg</t>
  </si>
  <si>
    <t>Mars</t>
  </si>
  <si>
    <t>Hola @CiudadanosCs !! Esta mujer acaba de agredir a un periodista. Vais a salir llorando y con su condena correspondiente, o vais a sudar como siempre cuando la agredido no es de los vuestros? Ya de paso, a ver si @Albert_Rivera lo ve, que seguro que son amiguetes! RT @rifepa86: @albertmartnez @Supergeles La Isabel la podreu trobar tant en actes de Cs,com arrencant llaços o amb franquistes.... #FemXarxa</t>
  </si>
  <si>
    <t>https://twitter.com/rifepa86/status/1064763163919491072</t>
  </si>
  <si>
    <t>https://pbs.twimg.com/media/DsbMbPUXoAAKn0j.jpg</t>
  </si>
  <si>
    <t>Breakish, Scotland</t>
  </si>
  <si>
    <t>Llicenciada en Història Moderna i Contemporània. In love with Scotland.</t>
  </si>
  <si>
    <t>LIBERTAD!!!Vzla</t>
  </si>
  <si>
    <t>A mi amada #EspañaViva la locura la ronda. Cordura y Calma!!! @Albert_Rivera @Santi_ABASCAL @pablocasado_ @okdiario RT @okdiario: ▶️ Simpatizantes de Franco solicitan por escrito a la Iglesia española que se le declare Santo</t>
  </si>
  <si>
    <t>https://twitter.com/okdiario/status/1064850488498233344</t>
  </si>
  <si>
    <t>pic.twitter.com/0jcVfN030d</t>
  </si>
  <si>
    <t>El apuro de Rivera cuando le preguntan si sus primos de @vox_es es extrema derecha  @Europarl_ES @EU_Commission @CasaReal @CiudadanosCs @PSOE @PPopular</t>
  </si>
  <si>
    <t>Ama de casa, rebelde,con grandes deseos de ver a mi pais unido y con grandes proyectos.AMO A MI PAÍS Y AL TUYO! #SoyVenezuela</t>
  </si>
  <si>
    <t>#RestosFrancoARV Oye Ferreritas , cuando @Albert_Rivera vuelva a tu programa porque necesite un masaje , le vas a preguntar cuando organiza un acto en apoyo de los Guardia Civiles atropellado por el nieto Franco ? O solo hace eso para incendiar pueblos ?</t>
  </si>
  <si>
    <t>https://www.elplural.com/sociedad/nieto-franco-atropello-guardias-civiles-absuelto-teruel_204421102</t>
  </si>
  <si>
    <t>Sánchez está poniendo el Estado al servicio de los golpistas para poder atrincherarse en La Moncloa. Y purga sin pudor a todo aquel que se oponga a esta humillación nacional. Este es otro escándalo más en los meses de sanchismo en el poder.</t>
  </si>
  <si>
    <t>https://www.elespanol.com/espana/tribunales/20181121/dolores-delgado-fulmina-abogado-no-acusacion-proces/354965404_0.html</t>
  </si>
  <si>
    <t>Más comentados ahora en Derecha/Centro Dcha.: ➀ @sanchezcastejon ↓ ➁ @hermanntertsch ↑ ➂ @PSOE ↑ ➃ @Albert_Rivera ↓ ➄ @currusquita ↑ ➅ @PPopular ↓ ➆ @Alvisepf ↑ ➇ @ldpsincomplejos ↓ ➈ @elespanolcom ↑↑↑ ➉ @Spesfdez ↑</t>
  </si>
  <si>
    <t>Pablo</t>
  </si>
  <si>
    <t>Y lo bonito que hubiera sido ver a @albert_rivera felicitando a @IgnatiusFarray si hubiera ganado el Emmy, @VidaModernaOML RT @Albert_Rivera: Mi enhorabuena a todo el equipo de #LaCasadePapel por este gran logro: primera serie española en ganar un Emmy Internacional. Otro éxito para una serie extraordinaria, que está haciendo historia y elevando el prestigio de nuestra cultura. 👏🏻👏🏻👏🏻</t>
  </si>
  <si>
    <t>https://twitter.com/albert_rivera/status/1064808303606276096
https://goo.gl/z1M2k2</t>
  </si>
  <si>
    <t>París, Francia</t>
  </si>
  <si>
    <t>En lo que pensamos nos convertimos. ••• De Andalucía. Fisio. Fluctuat nec mergitur. El rollo mesiánico de Pablito. 🤺</t>
  </si>
  <si>
    <t>http://mysouthofnonorth.wordpress.com</t>
  </si>
  <si>
    <t>Cuando Ciudadanos tachaba de "espectáculo" el fletar autobuses políticos  Rivera monta otro circo por algo que aun no existe ,los indultos a presos políticos ,, @Europarl_ES @EU_Commission @CasaReal @CiudadanosCs @PSOE @PPopular</t>
  </si>
  <si>
    <t>https://www.elplural.com/politica/albert-rivera-copia-modelo-bus-propagandista-que-critico-a-podemos_206760102
https://www.elplural.com/politica/ciudadanos-bus-contra-el-indulto-de-presos-catalanes_206746102</t>
  </si>
  <si>
    <t>Más influyentes ahora en Derecha/Centro Dcha.: ➀ @hermanntertsch ↑ ➁ @Albert_Rivera ↓ ➂ @currusquita ↑ ➃ @Alvisepf ↑ ➄ @ldpsincomplejos ↓ ➅ @Spesfdez ↑ ➆ @MariaTabarnia ↑ ➇ @DigitalSevilla ↓ ➈ @carmelojorda ↓</t>
  </si>
  <si>
    <t>🏛 En breve @Albert_Rivera hablará en el @Congreso_Es en abierto en la reunión del grupo parlamentario. 👉 Te dejamos un resumen a continuación.</t>
  </si>
  <si>
    <t>https://pbs.twimg.com/media/DscbflWXcAoBwo_.jpg</t>
  </si>
  <si>
    <t>Rafael Tejada Galleg</t>
  </si>
  <si>
    <t>Mira lo que he visto en "Publico" Publico:</t>
  </si>
  <si>
    <t>JUAN VICENTE COSIN</t>
  </si>
  <si>
    <t>#JusticiaSocial #PGE2019 Tanto despilfarro es subir SMI 41,40 €/mes? No sois políticos serios sino malcriados q no habéis pegado palo al agua @pablocasado_ 8 años para una carrera de 5 y master dado @Albert_Rivera doctorando y con el mazo dando Q se puede esperar de vosotros?</t>
  </si>
  <si>
    <t>Sangarvi</t>
  </si>
  <si>
    <t>https://pbs.twimg.com/media/DscbVYaXgAUFRw4.jpg</t>
  </si>
  <si>
    <t>Albert Rivera dice "¿Hasta cuándo piensa permitir estas humillaciones al pueblo español?" De verdad, que forma de echar gasolina al fuego, si ha habido escupitajo es simplemente una guarrada de un cerdo, ni humillación ni hostias</t>
  </si>
  <si>
    <t>Vive, deja, ayuda. X una sociedad justa paso a paso. Poeta, pensionista no jubilado. Experto en eficiencia. Agrupación Valencia Nord PSPV 🇪🇺🇪🇸</t>
  </si>
  <si>
    <t>Cabanyal-València</t>
  </si>
  <si>
    <t>Preveo noche loca, voy a ponerme otro Nesquik</t>
  </si>
  <si>
    <t>TopInfluencers(beta)</t>
  </si>
  <si>
    <t>Top 100 influencers en Políticos N. - PTS - Cuenta 07. 65 @junqueras 08. 65 @Albert_Rivera 09. 64 @martarovira</t>
  </si>
  <si>
    <t>Yoda Republicano</t>
  </si>
  <si>
    <t>http://bit.ly/2A42CoE</t>
  </si>
  <si>
    <t>Vitoria-Gasteiz, Euskadi</t>
  </si>
  <si>
    <t>“El miedo es el camino hacia el Lado Oscuro, el miedo lleva a la ira, la ira lleva al odio, el odio lleva al sufrimiento. Veo mucho miedo en ti.” ⛔️🚫MD🚫⛔️</t>
  </si>
  <si>
    <t>https://www.youtube.com/channel/UCY60GBj-H8SmayRG1UgDVWw</t>
  </si>
  <si>
    <t>Rankings del Klout Score en España (Beta) Acerca de http://topinfluencers.es/acerca-de/ Not in any way affiliated with @Klout or http://klout.com.</t>
  </si>
  <si>
    <t>http://topinfluencers.es</t>
  </si>
  <si>
    <t>Los jueces insisten en lo que propuso @Albert_Rivera en el Congreso en el pasado mes de julio...La Ley de Despolitizacion del Poder Judicial. El tiempo da la razón a @CiudadanosCs .</t>
  </si>
  <si>
    <t>https://pbs.twimg.com/media/DscZGVMXcAAU4Ue.jpg</t>
  </si>
  <si>
    <t>Aurora Villegas</t>
  </si>
  <si>
    <t>Los menores primero... #DíaUniversaldelNiño #IgualTiempoEnFamilia #CuidadosEnIgualdad #FamiliasMonoparentales @sanchezcastejon @Albert_Rivera @pablocasado_ @carmencalvo_ @MSPE_Andalucia RT @AsociacionMSPE: Los Menores Primero. Desde la @AsociacionMSPE pedimos que todos los menores sean iguales frente a la ley y los cuidados con independencia de su modelo familiar. #DíaUniversalDelNiño #IgualesEnDerechos #CuidadosEnIgualdad</t>
  </si>
  <si>
    <t>Esto, el Comunismo es una AMENAZA, es una plaga @Albert_Rivera @pablocasado @beatrizbecerrab RT @clubdeviernes: Campamentos comunistas donde se instruye a jóvenes en la violencia y se les adoctrina en una ideología genocida anulando la individualidad ... está pasando en España</t>
  </si>
  <si>
    <t>https://twitter.com/clubdeviernes/status/1064610639082151936</t>
  </si>
  <si>
    <t>pic.twitter.com/TMzrcZfQLu</t>
  </si>
  <si>
    <t>ROY BATTY</t>
  </si>
  <si>
    <t>Albert Rivera, cuando todavía no hay ni juicio, ya sabe que serán indultados, tiene una bola de cristal y conoce el futuro, me rindo a la evidencia, él o su DeLorean próximo Presidente del Gobierno.</t>
  </si>
  <si>
    <t>Innsmouth</t>
  </si>
  <si>
    <t>Lectura retorcida, zona de confort oscura, trabajo enloquecido, todo pasa factura, todo...</t>
  </si>
  <si>
    <t>Cuando la dignidad de un solo hombre puede hacer cambiar las cosas, hay salida. @VictoriaCsPla @Albert_Rivera</t>
  </si>
  <si>
    <t>Perro_Flauta_Furioso</t>
  </si>
  <si>
    <t>No se porque llamais Facha a Albert Rivera porque vote en contra de condenar el Franquismo, y diga que las dictaduras tienen cierta paz y orden....estamos LOCOS O QUE 😱😱😱😱!!</t>
  </si>
  <si>
    <t xml:space="preserve">Qurtuba  </t>
  </si>
  <si>
    <t>El motor de la historia es la lucha de clases. El hombre es el ser supremo para el hombre. Marxista, republicano y pareja de @yulen1970</t>
  </si>
  <si>
    <t>Asociación MSPE</t>
  </si>
  <si>
    <t>Los menores primero. Las niñas y niños de #FamiliasMonoparentales merecen el mismo derecho a tener #CuidadosEnIgualdad #DiaUniversalDelNiño @carmencalvo_ @sanchezcastejon @Albert_Rivera @Pablo_Iglesias_ @pablocasado_</t>
  </si>
  <si>
    <t>Los tuiteros analizan por qué Albert Rivera no quiere calificar a Vox como extrema derecha: "Normal, no quieren cabrear a su nicho electoral"</t>
  </si>
  <si>
    <t>Asociación de mujeres que hemos optado libremente por formar una #FamiliaMonoparental trabajamos en Red reivindicando nuestro modelo de familia👩‍👧‍👦👩‍👧👩‍👦‍👦</t>
  </si>
  <si>
    <t>http://madressolterasporeleccion.org/</t>
  </si>
  <si>
    <t>📽 @Albert_Rivera "El cinismo no tiene fronteras para Sánchez: votó en contra de los presupuestos diciendo que eran los peores para España; pero con tal de estar 15 minutos más en Moncloa es capaz de apoyarlos"</t>
  </si>
  <si>
    <t>pic.twitter.com/eGv337Yh2o</t>
  </si>
  <si>
    <t>Otto Más 🐉</t>
  </si>
  <si>
    <t>Y esta misma mañana Albert Rivera se negaba en @HoyPorHoy a decir que VOX es un partido de extrema derecha. Es lo que tiene la derecha, que todo lo que esté más allá también es su hábitat natural. RT @ElHuffPost: ÚLTIMA HORA: El Senado condena al franquismo con la abstención del PP, Ciudadanos, UPN y Foro Asturias</t>
  </si>
  <si>
    <t>Y en España no informamos de la sentencia del TEDH y si del registro como primera noticia, periodismo sicario o como manipular la realidad @ErnestoEkaizer @BeatrizTalegon @elisabeni @Ignacos @pablocasado_ @Albert_Rivera @carmencalvo_ RT @albertdmcat: La cortina de fum i la verdadera notícia: un nou revés per la inJustícia espanyola des d’Estrasburg. Això és el que passa quan decideixen tribunals demòcrates i no els que provenen d’un règim feixista que mai va fer una transició de veritat.</t>
  </si>
  <si>
    <t>https://twitter.com/albertdmcat/status/1064836628777185280</t>
  </si>
  <si>
    <t>Madrid, Comunidad de Madrid España</t>
  </si>
  <si>
    <t>Filólogo. Los tuits aquí vertidos pueden parecer más grandes de lo que son. No se alimenta a trolls. Puede contener trazas de homosexualidad.</t>
  </si>
  <si>
    <t>https://pbs.twimg.com/media/DscPQ34XQAEHIwR.jpg</t>
  </si>
  <si>
    <t>https://www.instagram.com/ottomas/</t>
  </si>
  <si>
    <t>Dimas</t>
  </si>
  <si>
    <t>Se acercan las Navidades y Albert Rivera vuelve con su cuñadismo. Esta vez no sabe dónde colocar a Vox en el espectro político. Manda huevos.</t>
  </si>
  <si>
    <t>#CLM @abalosmeco responde a @GarciaPage que @Albert_Rivera no tendría cabida en el @PSOE en el que él se afilió @CiudadanosCs</t>
  </si>
  <si>
    <t>Un asturiano ochentero y medio trotamundos. Viajar • Fitness • Montañismo y escalada • Tecnología •  • Música • Fotografía. © 1986 - 2018.</t>
  </si>
  <si>
    <t>http://www.lacerca.com/noticias/castilla_la_mancha/abalos-responde-garcia-page-albert-rivera-psoe-afilio-445654-1.html</t>
  </si>
  <si>
    <t>Bea Hiraldo</t>
  </si>
  <si>
    <t>A ver si con un poco de suerte y Rufián ya no vuelve. O como sanción que le enseñen educación y saber estar. Creo que le podría dar una buena clase Albert Rivera #BroncaCongresoARV</t>
  </si>
  <si>
    <t>Javier Hache</t>
  </si>
  <si>
    <t>Hoy para conmemorar el día de la muerte de un genocida, @pablocasado_ @Albert_Rivera o @Santi_AbascaI deberían mutilarse los genitales a imagen y semejanza, de una forma u otra, su ideólogo. #20N</t>
  </si>
  <si>
    <t>Silla, Comunidad Valenciana</t>
  </si>
  <si>
    <t>Guerrera taurina. Taurófila. Criminóloga. Colaboradora en El Rincon Taurino. Presidenta Club Taurino Silla 🇪🇸 Opositora a escala ejecutiva del CNP 👮🏽‍♀️</t>
  </si>
  <si>
    <t>Ygritte 🎗 #oficialidá</t>
  </si>
  <si>
    <t>El escupitajo a Borrell es como las piedras que le tiraron a Albert Rivera en Altsasu.</t>
  </si>
  <si>
    <t>ALC-BCN</t>
  </si>
  <si>
    <t>http://www.javierh.com</t>
  </si>
  <si>
    <t>Poble Lliure (València - País Valencià)</t>
  </si>
  <si>
    <t>Dona de l'acer. Representant del Poble Lliure al País Valencià. #TeamManceRayder</t>
  </si>
  <si>
    <t>https://curiouscat.me/Ygritte_Snow</t>
  </si>
  <si>
    <t>Txetxu</t>
  </si>
  <si>
    <t>A @IgnatiusFarray como nominado por "El Fin de la comedia" sí que habría que felicitarle por elevar el prestigio de nuestra cultura. Te lo habían puesto en bandeja @Albert_Rivera RT @Albert_Rivera: Mi enhorabuena a todo el equipo de #LaCasadePapel por este gran logro: primera serie española en ganar un Emmy Internacional. Otro éxito para una serie extraordinaria, que está haciendo historia y elevando el prestigio de nuestra cultura. 👏🏻👏🏻👏🏻</t>
  </si>
  <si>
    <t>https://twitter.com/Albert_Rivera/status/1064808303606276096
https://goo.gl/z1M2k2</t>
  </si>
  <si>
    <t>Ldo. en Economía, árbitro y snowboarder. Amante del buen cine y grandes series. Con actitud y aptitud para la vida. Imprescindibles: Salud, humor y amor.</t>
  </si>
  <si>
    <t>Más comentados ahora en Derecha/Centro Dcha.: ➀ @sanchezcastejon ↑ ➁ @hermanntertsch ↑ ➂ @Albert_Rivera ↑↑↑ ➃ @PSOE ↓ ➄ @PPopular ↑ ➅ @CristinaSegui_ ↑ ➆ @ldpsincomplejos ↓ ➇ @Anonymus_ES ↑ ➈ @DigitalSevilla ↑↑</t>
  </si>
  <si>
    <t>Antena3Noticias</t>
  </si>
  <si>
    <t>VIDEO | Albert Rivera evita calificar a Vox como partido de extrema derecha al ser preguntado hasta en tres ocasiones en una entrevista ▶</t>
  </si>
  <si>
    <t>http://atres.red/ufjdh2</t>
  </si>
  <si>
    <t>Toda la actualidad en http://www.antena3.com/noticias/</t>
  </si>
  <si>
    <t>http://www.antena3.com/noticias/</t>
  </si>
  <si>
    <t>Más influyentes ahora en Derecha/Centro Dcha.: ➀ @hermanntertsch ↑ ➁ @Albert_Rivera ↑↑↑ ➂ @CristinaSegui_ ↑ ➃ @ldpsincomplejos ↑ ➄ @Anonymus_ES ↑ ➅ @Alvisepf ↓ ➆ @DigitalSevilla ↑↑ ➇ @currusquita ↓ ➈ @carmelojorda ↑</t>
  </si>
  <si>
    <t>Diego Moreno Lozano</t>
  </si>
  <si>
    <t>El grupo de Esquerra Republicana en el Congreso,le ha dicho a Albert Rivera,que cada vez que les llame golpistas,ellos le llamaran fascista,pero yo iría un poco mas allá,yo le diría al Sr Rivera que cada vez que respire le llamare fascista.</t>
  </si>
  <si>
    <t>maijaus</t>
  </si>
  <si>
    <t>Soy un hombre de principios,nunca acabo lo que empiezo</t>
  </si>
  <si>
    <t>Elsa Triguero</t>
  </si>
  <si>
    <t>.@Albert_Rivera pide a Sánchez y Casado que rompan el "pacto de la vergüenza" para repartirse los vocales del Consejo General del Poder Judicial y reformen junto a @CiudadanosCs el sistema de nombramientos</t>
  </si>
  <si>
    <t>Teresa perez-cepeda</t>
  </si>
  <si>
    <t>Albert Rivera, tiene un programa de Gobierno, que va adaptando diariamente a los titulares de los periódicos, vamos, política en estado puro!! #PSOEGeneraConfianza #Borrell #ErnestLluch</t>
  </si>
  <si>
    <t>https://www.europapress.es/nacional/noticia-rivera-pide-sanchez-casado-rompan-pacto-verguenza-cgpj-reformen-sistema-nombramientos-20181120100727.html</t>
  </si>
  <si>
    <t>Periodista. Escribiendo sobre política (y lo que se tercie) e informando sobre @CiudadanosCs en @europapress.</t>
  </si>
  <si>
    <t>La Coruña</t>
  </si>
  <si>
    <t>LMRG</t>
  </si>
  <si>
    <t>Pues a elecciones inmediatas! @Albert_Rivera RT @el_pais: ÚLTIMA HORA  Sánchez admite que si no hay pacto sobre los Presupuestos, no agotará la legislatura: "Si no llegamos a acordarlos, mi vocación de llegar al final de la legislatura se ve acortada"</t>
  </si>
  <si>
    <t>https://twitter.com/el_pais/status/1064801322623361024
https://bit.ly/2FvEKQL</t>
  </si>
  <si>
    <t>https://pbs.twimg.com/media/DsbvJm7VAAADxP9.jpg</t>
  </si>
  <si>
    <t>Venezolano, Amante de la Libertad y admirador del Generalísimo Sebastian Francisco de Miranda.</t>
  </si>
  <si>
    <t>laquintacolumna</t>
  </si>
  <si>
    <t>Albert Rivera es ese señor que le pide a Pedro Sánchez que diga expresamente que no indultará a gente que ni siquiera ha sido juzgada mientras se niega expresamente a condenar el franquismo.</t>
  </si>
  <si>
    <t>AsociacionMSPE_Aragón</t>
  </si>
  <si>
    <t>¿Por qué nuestras hijas e hijos tienen que seguir discriminados? Está en vuestras manos acabar con esta situación. @agarzon @Pablo_Iglesias_ @pablocasado_ @sanchezcastejon @luisacarcedo @gabrielrufian @Albert_Rivera #IgualesEnDerechos #DíaUniversaldelNiño #CuidadosEnIgualdad</t>
  </si>
  <si>
    <t>La vida es lo que pasa mientras pierdes el tiempo escribiendo un tuit</t>
  </si>
  <si>
    <t>Delegación en Aragón de la Asociación de Madres Solteras por Elección. Trabajando en Red reivindicando nuestro modelo de familia.</t>
  </si>
  <si>
    <t>http://www.madressolterasporeleccion.org/</t>
  </si>
  <si>
    <t>"Buitre no come buitre". Vía @Tremending</t>
  </si>
  <si>
    <t>Miguel Ángel</t>
  </si>
  <si>
    <t>¿Estos son los "buenos españoles"? 😥😪😨 Vergüenza y hastío... @pablocasado_ @Albert_Rivera @PPopular @CiudadanosCs #España #20N  vía @eldiarioes</t>
  </si>
  <si>
    <t>https://m.eldiario.es/_31eabbdc</t>
  </si>
  <si>
    <t>Este circo no tiene arreglo...</t>
  </si>
  <si>
    <t>Eugenia Taillefer🌸</t>
  </si>
  <si>
    <t>Querella presentada hoy mismo contra la presidenta de Andalucía Susana Diaz por prevaricacion y malversacion.  @elmundoes @DiarioSUR @abc_es @lavanguardia @libertaddigital @larazon @elespañol @vox @santiabascal @JuanMa_Moreno @Albert_Rivera @okdiario</t>
  </si>
  <si>
    <t>https://widget.smartycenter.com/video/querella-presentada-contra-susana-diaz./2877633/8982/1</t>
  </si>
  <si>
    <t>Venezuela- España</t>
  </si>
  <si>
    <t>Mitad de acá, mitad de allá</t>
  </si>
  <si>
    <t>Roberto Sotomayor</t>
  </si>
  <si>
    <t>Lo normal es un país moderno y democrático eh @pablocasado_ y @Albert_Rivera??</t>
  </si>
  <si>
    <t>https://www.elperiodicodearagon.com/amp/noticias/aragon/virgen-pilar-luce-manto-falange-dos-horas_1324900.html?__twitter_impression=true</t>
  </si>
  <si>
    <t>5 ✖️Campeón España indoor M35 3 ✖️ Campeón de Europa M35 Doble subcampeón del Mundo M35 con 2 WR 4✖️800 M35/ Locutor Deportivo en la RFEA / Motivation Coach</t>
  </si>
  <si>
    <t>http://correporti.blogspot.com.es/</t>
  </si>
  <si>
    <t>Esther</t>
  </si>
  <si>
    <t>De haberle puesto un lazo amarillo @Albert_Rivera y @pablocasado_ predicarían un poco más de odio, pero el manto de la falange no les ofende. RT @JesusCintora: "La Virgen del Pilar luce el manto de Falange durante dos horas en Zaragoza, en la víspera del aniversario de la muerte de Franco y de Primo de Rivera. Hace tres años la Virgen exhibió el manto de la División Azul que apoyó a los nazis"</t>
  </si>
  <si>
    <t>https://twitter.com/JesusCintora/status/1064793630521655302
https://www.elperiodicodearagon.com/noticias/aragon/virgen-pilar-luce-manto-falange-dos-horas_1324900.html</t>
  </si>
  <si>
    <t>Qui endavant no mira, endarrere cau.</t>
  </si>
  <si>
    <t>Carolina Inoná</t>
  </si>
  <si>
    <t>"El 6 de junio del 2017 una amiga la encontró ahorcada donde vivía 'de prestado' Iban a desahuciarla. Los siguientes 16 meses los ha pasado en la cámara frigorífica" #StopDesahucios #StopDesnonaments Culpables @sanchezcastejon @Albert_Rivera @QuimTorraiPla</t>
  </si>
  <si>
    <t>He puesto @acacias38_tve y lo primero que he visto es a un actor clavadito a Albert Rivera. Nuestros políticos se pluriemplean.</t>
  </si>
  <si>
    <t>https://www.larioja.com/la-rioja/mariela-vecina-oyon-20181119104459-nt.html</t>
  </si>
  <si>
    <t>Dibujando La Noche</t>
  </si>
  <si>
    <t>📻 El líder de @CiudadanosCs @Albert_Rivera será entrevistado mañana a las 8,30 por @PepaBueno en @HoyPorHoy de @La_SER</t>
  </si>
  <si>
    <t>https://pbs.twimg.com/media/DscD6oPXcAAJzwO.jpg</t>
  </si>
  <si>
    <t>Paco Marhuender</t>
  </si>
  <si>
    <t>El partido que lidera Albert Rivera no condena el franquismo en el Senado. Albert Rivera echando un capote a VOX como buen amigo de Santiago Abascal que es. Pero...</t>
  </si>
  <si>
    <t>Corrupción chavista. Presidente del BancoCentralVE usó a Paltel Business SL sociedad española para desaparecer 100Mil millones$ a un banco en Singapur. @B_ca_es_eu @pablocasado_ @Albert_Rivera @beatrizbecerrab</t>
  </si>
  <si>
    <t>https://pbs.twimg.com/media/DsipFyuW0AEaWc2.jpg</t>
  </si>
  <si>
    <t>Oye, a ver...de verdad, esto me hace mucha gracia, no? y luego oye, PP malo y no. Oye es que ya está bien...de verdad.</t>
  </si>
  <si>
    <t>.@Albert_Rivera exige a @sanchezcastejon y @pablocasado_ romper su acuerdo tras la renuncia de Marchena</t>
  </si>
  <si>
    <t>http://elperiodi.co/gzckq1</t>
  </si>
  <si>
    <t>🎗Iessu🎗</t>
  </si>
  <si>
    <t>Algo que decir, @pablocasado_ @Albert_Rivera #20N #20DeNoviembre #20Noviembre #NoPassaran #nopasarán #fascismo #fascism #FascismolegalVergüenzaNacional #IrosALaMierda RT @josepgoded: Fascists marching in Madrid last night! #Catalonia #EU #HumanRights</t>
  </si>
  <si>
    <t>NoName.</t>
  </si>
  <si>
    <t>Un yonki escuchó que un camello guardó toda su mercancía en una isla y decidió usar toda su vida junto a Luisma, Barajas, Belen Esteban y Albert Rivera (y un par más como un zumbado que se piensa que es un robot tras electrocutarse) para darle a los monchis y al chicharron RT @Humawaifus: Explicadme vuestro anime favorito de forma que parezca una puta mierda y nadie quiera verlo, empiezo yo: El mio va de unos pavos que viven bajo tierra y se encuentran el robot más feo jamás visto, pelean y se vuelven unos flipados de la vida, se creen que cuanto más grande mejor</t>
  </si>
  <si>
    <t>https://twitter.com/josepgoded/status/1063821564204986370</t>
  </si>
  <si>
    <t>pic.twitter.com/pqd7RjhttP</t>
  </si>
  <si>
    <t>https://twitter.com/Humawaifus/status/1065198247617150978</t>
  </si>
  <si>
    <t>L'Hospitalet de l'Infant</t>
  </si>
  <si>
    <t>Voleibol.</t>
  </si>
  <si>
    <t>M'agrada més dret a la barra que sentat a la taula.</t>
  </si>
  <si>
    <t>19. One Piece. 調査兵団. Juego de Tronos. El Señor de los Anillos. Shameless. Nightcore. La vie est drôle. [SAMCRO]. Fire Emblem. Trophy Hunter. Peaky Blinder.</t>
  </si>
  <si>
    <t>alfonso posada</t>
  </si>
  <si>
    <t>I liked a @YouTube video  Albert Rivera. Debate sobre indultos a los líderes separatistas</t>
  </si>
  <si>
    <t>Los menores primero... #IgualTiempoEnFamilia #CuidadosEnIgualdad #FamiliasMonoparentales @sanchezcastejon @Albert_Rivera @pablocasado_ @carmencalvo_ RT @MSPE_Andalucia: Niñxs discriminados por la familia a la que pertenecen #CuidadosEnIgualdad #IgualTiempoEnFamilia Los menores primero</t>
  </si>
  <si>
    <t>http://youtu.be/64sgFG9MlcI?a</t>
  </si>
  <si>
    <t>https://twitter.com/MSPE_Andalucia/status/1064658401257553920
https://twitter.com/Pilar87692713/status/1064657145235480576</t>
  </si>
  <si>
    <t>London/Galicia</t>
  </si>
  <si>
    <t>Mi gato predilecto, independentista y capado. Feliz. Dislike nationalism and nationalists, the tribal cancer of society...</t>
  </si>
  <si>
    <t>http://antinazionanista.blogspot.com/?spref=tw</t>
  </si>
  <si>
    <t>Ironía de @Albert_Rivera que le recuerda al @PSOE "no sé si lo sabían, pero Franco ha muerto". El líder de @CiudadanosCs pide al Gobierno que piense más en el futuro que en el pasado</t>
  </si>
  <si>
    <t>🌸💖Eva💖🌸 #AdelanteAndalucía</t>
  </si>
  <si>
    <t>Luego a Albert Rivera le sorprende que digan que Ciudadanos es facha, RT @ElHuffPost: ÚLTIMA HORA: El Senado condena al franquismo con la abstención del PP, Ciudadanos, UPN y Foro Asturias</t>
  </si>
  <si>
    <t>https://www.servimedia.es/noticias/1093398</t>
  </si>
  <si>
    <t>My name is Eva🌺 and I like people 💃🏼, places🗻 and things💰! ♀️ Telegram: Spacechick_</t>
  </si>
  <si>
    <t>https://curiouscat.me/maggierotzank</t>
  </si>
  <si>
    <t>Jesús de la cruz</t>
  </si>
  <si>
    <t>Albert Rivera. Debate sobre indultos a los líderes separatistas</t>
  </si>
  <si>
    <t>Trinidad Lobato</t>
  </si>
  <si>
    <t>Anoche @TeresaRodr_ se comportó como un troll, hoy Albert Rivera le contesta como un ESTADISTA. No es una cuestión de clase es una cuestión de argumentos y educación y @Albert_Rivera deja claro quién tiene ambos y quien no.</t>
  </si>
  <si>
    <t>https://www.youtube.com/attribution_link?a=Yia16d4Ul5Y&amp;u=%2Fwatch%3Fv%3D64sgFG9MlcI%26feature%3Dshare</t>
  </si>
  <si>
    <t>pic.twitter.com/GrXSWFBcJF</t>
  </si>
  <si>
    <t>Sevilla capital, España</t>
  </si>
  <si>
    <t>Coordinador de @CsSanPabloJusta. @JovenesCs. Geografía e Historia. Escribo en el @4uPress/ @Sevillainf/ @elespanolcom</t>
  </si>
  <si>
    <t>http://t.me/jesusdelacruzoliva</t>
  </si>
  <si>
    <t>Por las malas he aprendido, que en todo lo malo hay un lado bueno.</t>
  </si>
  <si>
    <t>talkesi</t>
  </si>
  <si>
    <t>Andreu Castro</t>
  </si>
  <si>
    <t>Hola @Albert_Rivera @susanadiaz @pablocasado_ dónde puedo consultar en qué colegio tengo que votar en las elecciones andaluzas? Por cierto, soy catalán</t>
  </si>
  <si>
    <t>Buffering...</t>
  </si>
  <si>
    <t>Para estas fechas...siempre hace un tiempo u otro</t>
  </si>
  <si>
    <t>Naboombu</t>
  </si>
  <si>
    <t>Lo que me repugna de @Albert_Rivera, @InesArrimadas y el partido que representan es que 10 fachas pateando a una mujer no significa nada para ellos, ni 1 tweet de condena, pero pintan un portal de amarillo y ¡oooooooh apocalipsis! #AlertaUltra #antifascist</t>
  </si>
  <si>
    <t>María José S</t>
  </si>
  <si>
    <t>¿Recuerdas el autobús de la corrupción de Podemos? Pues esto es lo que opinaba el partido de Rivera. Ahora han fletado un autobús contra el indulto de presos catalanes</t>
  </si>
  <si>
    <t>Roger, there's only room in this band for one hysterical queen.</t>
  </si>
  <si>
    <t>SANLUCAR LA MAYOR</t>
  </si>
  <si>
    <t>Soy una chica entusiasta y preocupada por el bienestar social . Soy muy activa y dinamica, me encantan los nuevos retos.</t>
  </si>
  <si>
    <t>Julio Oitavén</t>
  </si>
  <si>
    <t>Después de REGALAR a la banca 60.000M€ hay que construir vivienda social??? #quecoñoFumáisenMadrit? @sanchezcastejon @Teresaribera @CarmenMonton @mjmonteroc @CelaaIsabel @MMAROTOVA @NadiaCalvino @abalosmeco @pablocasado_ @Pablo_Iglesias_ @Albert_Rivera</t>
  </si>
  <si>
    <t>Saiged nel i dde suas</t>
  </si>
  <si>
    <t>La reacción de Albert Rivera😂 RT @jordi_canyas: Los amigos de @sanchezcastejon . Los golpistas.</t>
  </si>
  <si>
    <t>https://www.lavanguardia.com/economia/20151125/30383050692/banca-viviendas-vacias-espana.html</t>
  </si>
  <si>
    <t>Fillo de Maruja do Laxeiro. Procrastinando. Criando ós meus cachorros. Convencido de que hai que afiar as forquillas enferruxadas dos alboios dos avós `☆</t>
  </si>
  <si>
    <t>Voy a mi bola, pero no me comas que tengo venenito rico. Sin prisa pero sin pausa.</t>
  </si>
  <si>
    <t>El drama de Amparo por la impunidad del sinvergüenza en España: "Llegué a mi casa y estaba okupada, si entro me llevan detenida" @UEmadrid @CasaReal @sanchezcastejon @pablocasado_ @Pablo_Iglesias_ @Albert_Rivera  vía @libre_mercado</t>
  </si>
  <si>
    <t>https://www.libremercado.com/2018-11-18/el-drama-de-amparo-llegue-a-mi-casa-y-estaba-okupada-si-entro-me-llevan-detenida-1276628302/</t>
  </si>
  <si>
    <t>DIGNAVERDAD</t>
  </si>
  <si>
    <t>... como que van ENTENDIENDO... Y esto ocurrió con PEPA BUENO se imaginarán . “ No Pepa no somos fachas , pero lo que tú pienses nos da lo mismo” y como que a Albert Rivera también ☝🏻</t>
  </si>
  <si>
    <t>https://www.instagram.com/p/BqcwTEPgGxI/?utm_source=ig_twitter_share&amp;igshid=687vr37exzi6</t>
  </si>
  <si>
    <t>.@Albert_Rivera se la devuelve a @TeresaRodr_ , dobladita, con clase y elegancia.😂👏👏OLÉ El insulto y la falta de respeto, que sin venir a cuento, le dedicó ella ayer en #DebateCanalSur sólo tiene una explicación: son Podemos y Cía, ellos mismos se retratan. #AlbertRiveraESP</t>
  </si>
  <si>
    <t>A Coruña, España</t>
  </si>
  <si>
    <t>pic.twitter.com/uwYv1vwDJr</t>
  </si>
  <si>
    <t>Me gusta la honestidad y no pierdo nunca la ESPERANZA de una mejor ESPAÑA.Pido respeto a todo y a todos.</t>
  </si>
  <si>
    <t>Xisca The Warrior</t>
  </si>
  <si>
    <t>¿Albert Rivera copiando la gracia del VAR a mi TL más alternativo a su vez copiado por tuitstars? Ojo ahí que este nos lee más de lo que pensamos XD</t>
  </si>
  <si>
    <t>Isla Olvidada en Fistro Jurídico Of Spain, Eternidad de las Magical Paradas de Larga Duración</t>
  </si>
  <si>
    <t>Vamos a quemar toda la ciudad y será sólo de Xisca ♀️✨📚-Izquierda Fanfic http://xiscally.blogspot.com.es/ http://xiscthulhu.tumblr.com/</t>
  </si>
  <si>
    <t>https://www.wattpad.com/user/Xiscthulhu</t>
  </si>
  <si>
    <t>He oído decir al 'más español de todos los tiempos', @Albert_Rivera en @EspejoPublico, que los andaluces deben saber que @TeresaRodr_ defiende el #DerechoDeAutodeterminacion de Cataluña. No como a él, que lo que más le gusta son las dictaduras con Reinados y el pueblo callao.</t>
  </si>
  <si>
    <t>📽 @Albert_Rivera "Ya basta de complejos en este país para rendir pleitesía a los que quieren romper España. El ejercito y los funcionarios públicos merecen un respeto; no este tipo de humillaciones" #MarchenaNOESP</t>
  </si>
  <si>
    <t>pic.twitter.com/Re7ZbZEuuj</t>
  </si>
  <si>
    <t>David García</t>
  </si>
  <si>
    <t>Sin embargo, para no ser analista político, Albert Rivera emplea una precisión quirúrgica al decir de otros partidos que son populistas o de extrema izquierda. ¡Qué excusa más pobre ha encontrado este necio para no reconocer lo que le resulta tan afín!</t>
  </si>
  <si>
    <t>https://m.eldiario.es/politica/Rivera-catalogar-Vox-extremadrecha-analista_0_838166254.html</t>
  </si>
  <si>
    <t>Aprendiz de todo y maestro de nada, excepto de un poco de filosofía en los IES que me acogen.</t>
  </si>
  <si>
    <t>📽 @Albert_Rivera "Yo quiero hablar más del futuro que del pasado ¿Cuánto tiempo más estará Sánchez hablando de Franco en lugar de la educación, desempleo o innovación?" #MarchenaNOESP</t>
  </si>
  <si>
    <t>pic.twitter.com/syY7xjNH6m</t>
  </si>
  <si>
    <t>Albert Rivera en VI Escuela de Verano DENAES 2012 ✔️ Libertad de asociación,</t>
  </si>
  <si>
    <t>https://youtu.be/V9YYQDqha-Q?voc25=2545870938</t>
  </si>
  <si>
    <t>📽 @Albert_Rivera "Cs es el único partido que seguirá creciendo en Andalucía. Tenemos una responsabilidad histórica; los andaluces necesitan un cambio tras 40 años de PSOE" #AlbertRiveraESP</t>
  </si>
  <si>
    <t>pic.twitter.com/WaiDFYFQWV</t>
  </si>
  <si>
    <t>📽 @Albert_Rivera "¿Quién está alimentando al Le Pen de la política española? Sánchez. Es momento de convocar urnas y darle voz a los españoles; esta legislatura está agotada" #AlbertRiveraESP</t>
  </si>
  <si>
    <t>https://pbs.twimg.com/media/Dsb20bDWwAAC9eY.jpg</t>
  </si>
  <si>
    <t>📽 @Albert_Rivera "El cinismo no tiene fronteras para Sánchez: votó en contra de los presupuestos diciendo que eran los peores para España; pero con tal de estar 15 minutos más en Moncloa es capaz de apoyarlos" #AlbertRiveraESP</t>
  </si>
  <si>
    <t>pic.twitter.com/4yp053GXyt</t>
  </si>
  <si>
    <t>📽 @Albert_Rivera "Le pido a Sánchez y a Casado que rompan este pacto de la vergüenza y que voten la ley de Cs para que el poder judicial sea elegido por jueces; no por políticos" #MarchenaNOESP</t>
  </si>
  <si>
    <t>MariSol Solet</t>
  </si>
  <si>
    <t>Albert Rivera Pablo Casado No condenan el fascismo del asesino Francisco Franco. #TodoNormal #FascismoNoCondenaFascismo</t>
  </si>
  <si>
    <t>https://pbs.twimg.com/media/DsiixcBWoAA3Cj0.jpg</t>
  </si>
  <si>
    <t>pic.twitter.com/aMW5BZxNBn</t>
  </si>
  <si>
    <t>Dicen que el #ImpuestoAlSol ha sido derogado pero está paralizado por PP y Ciudadanos. Pedro Sánchez les dió la mayoría en la Mesa del Congreso.Por qué?🤔</t>
  </si>
  <si>
    <t>Sufridor</t>
  </si>
  <si>
    <t>Que tu pareja te quiera como @susannagriso quiere a @Albert_Rivera. El anillo pa cuando? Acojonante el nivel del periodismo en España. Hay que joderse. RT @ElHuffPost: Albert Rivera responde en 'Espejo Público' (Antena 3) al calificativo que le dedicó Teresa Rodríguez: "Qué original..."</t>
  </si>
  <si>
    <t>https://twitter.com/ElHuffPost/status/1064808109523329026
http://www.huffingtonpost.es/2018/11/20/albert-rivera-responde-en-espejo-publico-antena-3-al-calificativo-que-le-dedico-teresa-rodriguez-que-original_a_23594456/</t>
  </si>
  <si>
    <t>Sinceramente creo que esto no tiene remedio. Los de arriba seguirán jodiendo a los de abajo siempre pero por lo menos pienso darles por el culo todo lo que pued</t>
  </si>
  <si>
    <t>https://pbs.twimg.com/media/Dsb2GEVWsAAclK7.jpg</t>
  </si>
  <si>
    <t>pablo benavente bal.</t>
  </si>
  <si>
    <t>Se prepara un remake de la peli: " Cristobal Colón de oficio descubridor ". En ella actuará @sanchezcastejon y se titulará : " Sánchez Castejón, de oficio incumplidor " 🤣 #FelizMartes #DebateCanaSur @Senadoesp @Congreso_Es @pablocasado_ @Albert_Rivera #sesiondecontrol #GHVIP20N</t>
  </si>
  <si>
    <t>Analista compulsivo de hábitos y usos políticos y sociales. Pensador nato... Adoro la música y me dejo embaucar por el sentido común... Odio la falsedad !!</t>
  </si>
  <si>
    <t>indepeinlove</t>
  </si>
  <si>
    <t>Querid@ @ForcadellCarme no me dejes por favor... Esta canción es para ti. Att. @Albert_Rivera</t>
  </si>
  <si>
    <t>http://bit.ly/1nrkeN0</t>
  </si>
  <si>
    <t>!Oh!, que sorpresa, en PP, y Albert Rivera, evitan condenar el franquismo, que gentuza, estos son de escuela neonazi</t>
  </si>
  <si>
    <t>LFVM</t>
  </si>
  <si>
    <t>Escuchando a @Albert_Rivera en A3. No sé si es más malo que simple o más simple que malo. Aprovechado y manipulador, seguro. Que ha encontrado su bienestar en la confrontación y el desprecio, también. Un tío que habla como él, no puede ser Presidente. Animador de feria, quizá si</t>
  </si>
  <si>
    <t>Josito</t>
  </si>
  <si>
    <t>Hace un momento, al señorito @albert_rivera le molestaba que @TeresaRodr_ lo llamara falangito ya que él no entra en descalificaciones con los populistas. #FelizMartes Marchena</t>
  </si>
  <si>
    <t>Calzadeño Toledano</t>
  </si>
  <si>
    <t>Músico con Corazón de Rock and Roll , Feminista-Vegetariano-Animalista , del Athletic y girando a la izquierda constantemente</t>
  </si>
  <si>
    <t>Juan Carlos Mateos</t>
  </si>
  <si>
    <t>#esp Pero si el más veleta eres tú @Albert_Rivera</t>
  </si>
  <si>
    <t>irun</t>
  </si>
  <si>
    <t>Euro Amy</t>
  </si>
  <si>
    <t>En @Antena3 @Albert_Rivera se acaba de condenar a Franco y el franquismo y el resto de las dictaduras, una vez mas. Lo digo por las twiteros que insisten ridiculmente que Cs o sus votantes son franquistas o fascistas.</t>
  </si>
  <si>
    <t>GanaElPSOE</t>
  </si>
  <si>
    <t>Politically active mother, entrepreneur and world citizen, living in Spain, Europe.</t>
  </si>
  <si>
    <t>@UnaGrandeLibre</t>
  </si>
  <si>
    <t>¡Viva la Memoria de FRANCO! ¡Arriba ESPAÑA! @sanchezcastejon @psoe @susanadiaz @Albert_Rivera @Pablo_Iglesias_ @pablocasado_ @agarzon @carmencalvo_ @InesArrimadas @PPopular @AdaColau @abc_es @el_pais @larazon_es</t>
  </si>
  <si>
    <t>San Sebastián, España</t>
  </si>
  <si>
    <t>"A cada insulto que recibamos, nosotros una propuesta,a cada descalificacion,una idea,y a cada exageración,una sonrisa" (ZP)</t>
  </si>
  <si>
    <t>https://pbs.twimg.com/media/Dsbvp0nWsAI6KGz.jpg</t>
  </si>
  <si>
    <t>sara</t>
  </si>
  <si>
    <t>albert rivera: ahora resulta que somos fachas RT @eldiarioes: ÚLTIMA HORA | PP y Ciudadanos se abstienen en la condena del Senado al franquismo</t>
  </si>
  <si>
    <t>Italia</t>
  </si>
  <si>
    <t>dios bendiga el reggaeton amén</t>
  </si>
  <si>
    <t>🏆⚽️🇫🇷🍾damimul🏆⚽️🇫🇷🍾</t>
  </si>
  <si>
    <t>En @EspejoPublico , @Albert_Rivera no ha tenido ni una sola palabra para las victimas del #tren de #Manresa Esto demuestra el postureo de @CiudadanosCs . Solo importan ganar poder y elecciones. Las vidas de tus conciudadanos importan una 💩</t>
  </si>
  <si>
    <t>"Eso de las etiquetas está feo entre compañeros. Poca vergüenza, Rivera". Vía @Tremending</t>
  </si>
  <si>
    <t>Français vivant à Madrid</t>
  </si>
  <si>
    <t>pic.twitter.com/hskv7l50M2</t>
  </si>
  <si>
    <t>Andoni</t>
  </si>
  <si>
    <t>Señorito @Albert_Rivera todos sabemos que salió un día uno en la tv diciendo que Franco había muerto, lo que no se puede permitir es que a día de hoy se pueda hacer apología de la época más antidemocratica de la historia de españa sin consecuencias</t>
  </si>
  <si>
    <t>Leon</t>
  </si>
  <si>
    <t>Leones hasta la médula. Del athletic y de la Cultural</t>
  </si>
  <si>
    <t>nachcat</t>
  </si>
  <si>
    <t>Hola @Albert_Rivera te estoy viendo en @EspejoPublico Ayer @sanchezcastejon estaba delante de el ataúd podrido del rey Mohamed V Creí q eran el ataúd de Franco y tal día como hoy moría Franco Sánchez va a adelantar las elecciones si o si y ya lo llevo diciendo semanas,al tiempo</t>
  </si>
  <si>
    <t>Protección animales en Podemos Animalista🐱🏳️‍🌈</t>
  </si>
  <si>
    <t>🎗️Que🎗️se jodan🎗️los🎗️fachas🎗️</t>
  </si>
  <si>
    <t>Gabriel Rufián llama fascistas a ciudadanos y Josep Borrell quiere entiender que le ha llegado racista Ana Pastor expulsa a Rufián pq cree que estaba burlándose de Jesucristo Mientras Albert Rivera llora pq nadie le hace caso y Pablo Casado toma apuntes para su nuevo máster</t>
  </si>
  <si>
    <t>https://pbs.twimg.com/media/DsieBKVXoAAdVfr.jpg</t>
  </si>
  <si>
    <t>Espejo Público</t>
  </si>
  <si>
    <t>.@Albert_Rivera: “@sanchezcastejon se ha echado a las manos de los separatistas” ▶ #MarchenaNOESP</t>
  </si>
  <si>
    <t>Directo a la #IIIRepublica, o lo que es lo mismo, saliendo de #Francoland Bloqueado por @Albert_Rivera, vete tu a saber si mi nombre le ha ofendido</t>
  </si>
  <si>
    <t>http://atres.red/prwad1</t>
  </si>
  <si>
    <t>https://pbs.twimg.com/media/DsbujMLWkAAGcbE.jpg</t>
  </si>
  <si>
    <t>San Sebastián de los Reyes</t>
  </si>
  <si>
    <t>@EspejoPublico es el magacín informativo matinal de @antena3com, producido por @A3Noticias y presentado por @SusannaGriso</t>
  </si>
  <si>
    <t>http://www.antena3.com/espejopublico</t>
  </si>
  <si>
    <t>🎥VÍDEO|@Albert_Rivera: "Esta legislatura está agotada liquidada, lo sensato es convocar elecciones" ▶ #MarchenaNOESP</t>
  </si>
  <si>
    <t>pic.twitter.com/UArxK9j4qn</t>
  </si>
  <si>
    <t>#sosprisiones Ocaña I</t>
  </si>
  <si>
    <t>#sosprisiones @Albert_Rivera @pablocasado_ @CiudadanosCs @ZaidaCantera 4° día de huelga y ninguna palabra de apoyo. Recuerden sus palabras. A mismo trabajo, a mismo uniforme, mismo sueldo.</t>
  </si>
  <si>
    <t>🎥VÍDEO| @Albert_Rivera: “Yo pido a @sanchezcastejon y @pablocasado_ que rompan este pacto de la vergüenza y que sean los jueces quienes elijan a los jueces” ▶ #MarchenaNOESP</t>
  </si>
  <si>
    <t>pic.twitter.com/9zCpmn6oHf</t>
  </si>
  <si>
    <t>#MarchenaNOESP El Sr. Maroto no entiende que por un wassap de Cosido se ve que Marchena está en el bote. Y el que ha estado bombardeando a este nuevo CGPJ es tu invitado @Albert_Rivera .</t>
  </si>
  <si>
    <t>Hoy analizamos la situación política con @Albert_Rivera, presidente de @CiudadanosCs, podéis seguir la entrevista aquí ▶ #MarchenaNOESP</t>
  </si>
  <si>
    <t>https://pbs.twimg.com/media/DsbqUFjWsAEuNYy.jpg</t>
  </si>
  <si>
    <t>Manolo</t>
  </si>
  <si>
    <t>La presidencia del Congreso deja sin discurso a Pablo Casado y a Albert Rivera al retirar las palabras golpista y fascista. RT @el_pais: DIRECTO  Pastor avanza que retirará las palabras "fascistas" y "golpistas" que ha dicho Rufián a Borrell. La presidenta del Congreso, que se ha emocionado, denuncia insultos machistas en su contra</t>
  </si>
  <si>
    <t>https://twitter.com/el_pais/status/1065164703284916224
http://bit.ly/2FLtMa7</t>
  </si>
  <si>
    <t>Cuando non estudiaches, polo menos intenta copiar.. @sanchezcastejon @Teresaribera @CarmenMonton @mjmonteroc @CelaaIsabel @MMAROTOVA @NadiaCalvino @abalosmeco @pablocasado_ @Pablo_Iglesias_ @Albert_Rivera</t>
  </si>
  <si>
    <t>https://pbs.twimg.com/media/Dsg5pPZUUAAigpp.jpg</t>
  </si>
  <si>
    <t>https://www.xataka.com/automovil/que-cuota-coche-electrico-noruega-21-espana-0-32</t>
  </si>
  <si>
    <t>Una sociedad que sustituye bienestar por beneficio es el exponente de una sociedad en grave decadencia. José Luis Sampedro</t>
  </si>
  <si>
    <t>@Mariano9605</t>
  </si>
  <si>
    <t>Cuando Ciudadanos tachaba de "espectáculo" el fletar autobuses políticos via @El_Plural  Albert Rivera plagia la idea de Podemos para alertar de hipotéticos indultos a los independentistas</t>
  </si>
  <si>
    <t>Fernando Benito</t>
  </si>
  <si>
    <t>Otra vez @Albert_Rivera en @EspejoPublico??? Pero trabaja allí o que</t>
  </si>
  <si>
    <t>60 años desde mi nacimiento. NO UTILIZO DM</t>
  </si>
  <si>
    <t>Presidente de la peña zaragocista de Cuarte de Huerva</t>
  </si>
  <si>
    <t>#RepúblicaCatalana🎗</t>
  </si>
  <si>
    <t>Mi más sentido pésame a @Albert_Rivera. hoy cumple años de la muerte de su Primo! :))))</t>
  </si>
  <si>
    <t>Catalonia (UE)</t>
  </si>
  <si>
    <t>Conflictòleg i mediador. Graduat social. Gironista amb sang culé. #DonecPerficiam</t>
  </si>
  <si>
    <t>Antonio Ruiz Giménez</t>
  </si>
  <si>
    <t>He añadido un vídeo a una lista de reproducción de @YouTube ( - Albert Rivera evita calificar a Vox como un</t>
  </si>
  <si>
    <t>http://youtu.be/4IGIojICqOw?a</t>
  </si>
  <si>
    <t>Ernesto Ortega</t>
  </si>
  <si>
    <t>Lo del "ataque de lucidez" es una falta de respeto, y me atrevería a decir casi un insulto, por su parte, hacia @sanchezcastejon Sr. @Albert_Rivera, sus comentarios son propios de una persona desquiciada, sin escrúpulos y ansiosa de poder. Aplíquese el cuento usted #bocachancla RT @Albert_Rivera: “Un gobierno sin presupuestos no gobierna nada”. “Gobernar no consiste en vivir en La Moncloa”. Miren a Sánchez en un ataque de lucidez... Cuando no estaba ocupando La Moncloa, claro. Aplíquese el cuento: #EleccionesYa.</t>
  </si>
  <si>
    <t>Tarifa (Cádiz)</t>
  </si>
  <si>
    <t>Accitano de nacimiento y tarifeño de adopción. Casado con Ana Mª Giráldez Álvarez. Maestro de escuela jubilado. Militante del PSOE.</t>
  </si>
  <si>
    <t>http://amruizg.blogspot.com</t>
  </si>
  <si>
    <t>L'Hospitalet</t>
  </si>
  <si>
    <t>Lo cogireron en un renuncio...</t>
  </si>
  <si>
    <t>Miguel López-Morell</t>
  </si>
  <si>
    <t>Si tras tanto escándalo por el intento de control del poder judicial por el PPSOE (y ahora también Podemos) no rectifican la democracia española seguirá sufriendo un déficit de credibilidad que los españoles no perdonarán @Albert_Rivera @CsRegionMurcia</t>
  </si>
  <si>
    <t>https://www.elmundo.es/espana/2018/11/20/5bf3b05b468aeb79228b45eb.html</t>
  </si>
  <si>
    <t>Diputado en la @AsambleaMurcia de @CsRegionMurcia Historiador de la Economía en la @UMU Coordinador nacional de Universidades de @CiudadanosCs #EleccionesYa</t>
  </si>
  <si>
    <t>http://www.um.es/mlmorell/</t>
  </si>
  <si>
    <t>Hoy en el @Congreso_Es esperamos una condena total de franquismo y su dictadura. Que diran @PPopular @pablocasado_ (esta ocupado con su amigo Cosido) @CiudadanosCs @Albert_Rivera o en redes sociales sus secuaces de @vox_es @Santi_ABASCAL Veremos que excusa ponen hoy....</t>
  </si>
  <si>
    <t>Luis Tusell</t>
  </si>
  <si>
    <t>Hola @Albert_Rivera e @InesArrimadas aún no habéis condenado esta agresión en Reus a un periodista:  Imagino que que la agresora lleve una bandera de España es solo una casualidad.RT @reusdigitalcat: Una unionista ha agredit un periodista de #Reusdigital abans de l'acte de García-Margallo. Diversos companys d'altres companys i els Mossos n'han estat testimonis.</t>
  </si>
  <si>
    <t>https://twitter.com/reusdigitalcat/status/1064601443913605121?s=20</t>
  </si>
  <si>
    <t>pic.twitter.com/J5ONhaigpw</t>
  </si>
  <si>
    <t>Periodista, director de Monkeys Communications. Barceloní i president de l’AVV de Les Tres Torres</t>
  </si>
  <si>
    <t>http://www.monkeysgroup.com</t>
  </si>
  <si>
    <t>Sánchez no ve rebelión, no ve escupitajos, no ve insultos... solo ve indultos para sus socios separatistas. Vamos a tener que poner el VAR y el ojo de halcón para que se entere de lo que son capaces de hacer sus aliados contra España. RT @europapress: La dirección del PSOE no vio el escupitajo de ERC a Borrell y achaca al PP la crispación</t>
  </si>
  <si>
    <t>https://twitter.com/europapress/status/1065197352049356801
https://bit.ly/2Aa6iVP</t>
  </si>
  <si>
    <t>https://pbs.twimg.com/media/DshXSyYW0AAjGQW.jpg</t>
  </si>
  <si>
    <t>☀️☕️ ¡Buenos días! En unos minutos estará @Albert_Rivera en @EspejoPublico para hablar sobre la actualidad política #AlbertRiveraESP. 📲 ¡Aquí te dejamos el enlace para que lo puedas ver #EnDirecto !</t>
  </si>
  <si>
    <t>https://www.atresplayer.com/directos/antena3/</t>
  </si>
  <si>
    <t>https://pbs.twimg.com/media/Dsbf6P5WwAAN8y0.jpg</t>
  </si>
  <si>
    <t>Baraka</t>
  </si>
  <si>
    <t>La corrupción y el populismo están causando un daño sin precedentes a las instituciones pero también aquellos políticos que un día afirman una cosa y al día siguiente otra @sanchezcastejon @Albert_Rivera @pablocasado_ @lugaricano @MiquelGimenezG1 @rosadiezglez</t>
  </si>
  <si>
    <t>Rous 🇫🇷 françaiscatala</t>
  </si>
  <si>
    <t>Rivera se niega a calificar a Vox como un partido de extrema derecha  vía @diario_16 Albert Rivera ha evitado hasta tres veces calificar a Vox como un partido de extrema derecha, durante la entrevista en la SER. Pepa Bueno..</t>
  </si>
  <si>
    <t>pic.twitter.com/Zf1aJFdId1</t>
  </si>
  <si>
    <t xml:space="preserve">Spain </t>
  </si>
  <si>
    <t>No saber, y a poder ser no saber nada de nada, es en los tiempos que corren una cosa de mucho mérito, que goza de gran prestigio y reconocimiento social# 👏👏👏</t>
  </si>
  <si>
    <t>Tinc mil motius per marxar i un de sol per quedar-me !!</t>
  </si>
  <si>
    <t>#Marchena se os acabó el pasteleo @PPopular @PSOE  @Albert_Rivera</t>
  </si>
  <si>
    <t>https://www.elespanol.com/espana/tribunales/20181120/marchena-descarta-presidente-poder-judicial-reivindica-independencia/354714705_0.html</t>
  </si>
  <si>
    <t>Cada día más convencido del tongo electoral que está preparando con Roures y Soros para continuar en Moncloa. La oposición dormida 😴 ¿Queréis despertar ya @pablocasado_ @Albert_Rivera? #HistoriaNegraDeEspaña 🇪🇸 RT @sanchezcastejon: El #fútbol como nexo entre Europa y África ⚽ Es la propuesta de España, junto con Portugal y Marruecos, de cara al Mundial 2030. Sería la primera vez que se presenta una candidatura que une a dos continentes. Trabajamos con ilusión para que esa idea pueda hacerse realidad.</t>
  </si>
  <si>
    <t>Dice Albert Rivera que en la Guerra Civil se enfrentaron unos rojos de mierda contra un bando al que no ubica ideológicamente porque él no es analista político.</t>
  </si>
  <si>
    <t>https://twitter.com/sanchezcastejon/status/1064570650428350464</t>
  </si>
  <si>
    <t>https://pbs.twimg.com/media/DsYVIY0XQAE70LD.jpg</t>
  </si>
  <si>
    <t>Sílvia 🌹🎗</t>
  </si>
  <si>
    <t>El silencio de otros. 20N buen día para recordárselo 😊 @sanchezcastejon @pablocasado_ @Albert_Rivera</t>
  </si>
  <si>
    <t>https://youtu.be/OV7O8yihVB4</t>
  </si>
  <si>
    <t>SANTIAGO LUIS GARCÍA</t>
  </si>
  <si>
    <t xml:space="preserve">Barcelona, Catalunya </t>
  </si>
  <si>
    <t>Dona, CATALANA i militant d’Esquerra Republicana 😉🌹🎗</t>
  </si>
  <si>
    <t>VIVA ESPAÑA!!!!</t>
  </si>
  <si>
    <t>Dejad ya de enfrentaros entre los del @PPopular y @CiudadanosCs en #Andalucia . No veis como están negociando los del @PSOE con los de @ahorapodemos por vuestra culpa!!! Por favor id a por ellos @pablocasado_ y @Albert_Rivera</t>
  </si>
  <si>
    <t>Joan</t>
  </si>
  <si>
    <t>Albert Rivera, Rafael Hernando, Pablo Casado en el Congreso: son ustedes unos GOLPISTAS👊 FASCISTAS💣 SUPREMACISTAS🔪 RACISTAS💀 CATALUÑA ES COMO LA ALEMANIA DE LOS AÑOS 30🔥 el Congreso: 😊☺️😇😍😌 Gabriel Rufián: señor Borrell es usted un hooligan el Congreso:</t>
  </si>
  <si>
    <t>pic.twitter.com/n5PsPsyj4a</t>
  </si>
  <si>
    <t>Madrileño, Español, antipodemita, de derechas, ahhhhhh y CAZADOR!!!!!. Sólo me arrodillo ante Dios. si no te gusto, ya sabes.... VIVA 🇪🇸🇪🇸🇪🇸 y el 🤴</t>
  </si>
  <si>
    <t>http://www.xn--espaa-rta.es</t>
  </si>
  <si>
    <t>Lleida</t>
  </si>
  <si>
    <t>25. Lleidatà. Jurista y abogado que se pasa el día quejándose de todo. Pero de todo, todo. Eurovisión. Ravenclaw.</t>
  </si>
  <si>
    <t>http://Instagram.com/joanmg.93</t>
  </si>
  <si>
    <t>Pepe Álvarez</t>
  </si>
  <si>
    <t>El primer sobre de propaganda electoral recibido en casa. Archivado convenientemente. @CiudadanosCs @JuanMarin_Cs @Albert_Rivera @InesArrimadas @javiercanoleal</t>
  </si>
  <si>
    <t>https://pbs.twimg.com/media/DsbB34mWkAAHHIu.jpg</t>
  </si>
  <si>
    <t>San Fernando, España</t>
  </si>
  <si>
    <t>Nuestra Guerrera Venezolana @MariaCorinaYA felicidades. @Almagro_OEA2015 @marcorubio @mauriciomacri @sebastianpinera @MartinVizcarraC @IvanDuque @EPN @MaritoAbdo @oariascr @Lenin @Laura_Ch @beatrizbecerrab @pablocasado @Albert_Rivera @epsycampbell @RosLehtinen @willycochez RT @raymacaricatura: Maria Corina Machado, entre las 100 mujeres mas inspiradoras del Mundo. Una lider politica que ha luchado por salvaguar la democracia en Vzla, se ha pateado medio pais para llevar aliento a la mujer venezolana🇻🇪 Gracias @MariaCorinaYA por todo lo que haces👏 🙏</t>
  </si>
  <si>
    <t>https://twitter.com/raymacaricatura/status/1064573447215419393</t>
  </si>
  <si>
    <t>https://pbs.twimg.com/media/DsYf4A2WsAA0U22.jpg</t>
  </si>
  <si>
    <t>Alceste</t>
  </si>
  <si>
    <t>NO CALLAR Como puede ser POR DIOS Q ACABE EN PUTO CAJON @Planeta_Calleja @JesusCalleja @CiudadanosCs @ristomejide @PSOE @Yosuneandaluz @ahorapodemos @emiliovaldes_ @Albert_Rivera @PPopular @sanchezcastejon @Pablo_Iglesias_ @cf_jesuscalleja @palao_pilar</t>
  </si>
  <si>
    <t>Danilo Albin</t>
  </si>
  <si>
    <t>Albert Rivera no considera a Vox de extrema derecha. Seguramente por eso compartió acto con ellos en Altsasu.  vía @publico_es</t>
  </si>
  <si>
    <t>https://youtu.be/VEJIhwtlefM</t>
  </si>
  <si>
    <t>Periodista. Colaborador de Público.es. Escribo historias de aquí y allá. Lo importante no es llegar, lo importante es el camino.</t>
  </si>
  <si>
    <t>NO CALLAR Como puede ser POR DIOS Q ACABE EN PUTO CAJON @Planeta_Calleja @JesusCalleja @CiudadanosCs @Albert_Rivera @ristomejide @PSOE @Yosuneandaluz @ahorapodemos @emiliovaldes_ @Albert_Rivera @PPopular @sanchezcastejon @Pablo_Iglesias_ @cf_jesuscalleja</t>
  </si>
  <si>
    <t>Querid@ @jordisanchezp no puedo vivir sin tí... Esta canción es para ti. Att. @Albert_Rivera</t>
  </si>
  <si>
    <t>http://bit.ly/2gpsySt</t>
  </si>
  <si>
    <t>Un imbecil de los cojones</t>
  </si>
  <si>
    <t>Oye @Albert_Rivera me he fijado en que la union liberal era el ciudadanos del siglo 19 así que el patO'Donald era el tú de hace 200 años.</t>
  </si>
  <si>
    <t>El otro Álvaro</t>
  </si>
  <si>
    <t>El de la camisa blanca no es albert rivera antes de las drogas? RT @wearetrivu: 94 - Chicos enamorados del casting de Factor X #DíaMundialdelaTelevisión #WeAreTrivu #FactorX @cuatro @MiquiPuig</t>
  </si>
  <si>
    <t>https://twitter.com/wearetrivu/status/1065233086676385792</t>
  </si>
  <si>
    <t>pic.twitter.com/X3b1I00HSo</t>
  </si>
  <si>
    <t>Un subnormal</t>
  </si>
  <si>
    <t>El rey de las malas decisiones. Muy vago para describirme, y si tal pregunta, que preguntando se llega// 🇮🇨 http://instagram.com/alvarofgz2</t>
  </si>
  <si>
    <t>Polaco Sediciós</t>
  </si>
  <si>
    <t>Solo dire una cosa, @Albert_Rivera es como las cebras les encantan las rayas.</t>
  </si>
  <si>
    <t>Rivera evita calificar a Vox como ultraderecha: “No soy un analista político”  Hasta en tres ocasiones ha eludido hoy Albert Rivera referirse a Vox como un partido de ultraderecha. A preguntas de Pepa Bueno en el programa Hoy por Hoy</t>
  </si>
  <si>
    <t>Audiencia Nacional</t>
  </si>
  <si>
    <t>Com a filosofia de vida tinc trencar Espanya i fer cops d'estats</t>
  </si>
  <si>
    <t>Emeldir Tinúviel</t>
  </si>
  <si>
    <t>#OTempoNãoPara #OTDirecto19NOV #DiaMundialDelRetrete #DiaInternacionalDelHombre #MarlaskaDimision #Marlaska ¿Partido "democrático" @ZaidaCantera ? #réquiem #sosprisiones @Albert_Rivera #EleccionesAndaluzas #DebateCanalSur @pablocasado_ @vox_es RT @antonio_f65: @oscarcurros @interiorgob @policia @tu_matar @AbandonoMe @tu_matar_murcia @tu_matar_menorc @astroman78 @curamerinno @Sonysofi2101 @Laboki92 Mucho me temo que tendrán orden de reventarlos a porrazos. Todos con #Aranjuez #sosprisiones</t>
  </si>
  <si>
    <t>https://twitter.com/antonio_f65/status/1064649640488960000</t>
  </si>
  <si>
    <t>Miradle la nariz, es Albert Rivera 👀❄ RT @AnimalesL0VE: Bajo el pelaje blanco de los osos polares hay una piel negra.</t>
  </si>
  <si>
    <t>https://twitter.com/AnimalesL0VE/status/1065263351373139968</t>
  </si>
  <si>
    <t>https://pbs.twimg.com/media/DsiTXwuWoAEb0rB.jpg</t>
  </si>
  <si>
    <t>~Don't be ashamed of your sins~ Ingeniería Electrónica Industrial-UV 🎵My Chemical Romance🎵</t>
  </si>
  <si>
    <t>Coque #JoSócCDR #ShameSpain</t>
  </si>
  <si>
    <t>A ver cuanto tardan @Albert_Rivera e @InesArrimadas en condenarlo. Mañana seguro que lo trata @susannagriso en @EspejoPublico. Seguro que sí. RT @reusdigitalcat: Una unionista ha agredit un periodista de #Reusdigital abans de l'acte de García-Margallo. Diversos companys d'altres companys i els Mossos n'han estat testimonis.</t>
  </si>
  <si>
    <t>https://twitter.com/reusdigitalcat/status/1064601443913605121</t>
  </si>
  <si>
    <t>L'H - Barcelona</t>
  </si>
  <si>
    <t>D'esquerres pq crec en la justícia; independentista pq defenso la llibertat. Català medio extremeño medio leonés. Fent de regidor d'@esquerralh a #LHospitalet</t>
  </si>
  <si>
    <t>http://coquegarcia.cat</t>
  </si>
  <si>
    <t>Este si puede enseñar a pescar @Albert_Rivera ja ja ja</t>
  </si>
  <si>
    <t>https://pbs.twimg.com/media/DsZriSHXcAABjeS.jpg</t>
  </si>
  <si>
    <t>AsociacionMSPE_ComunidadValenciana</t>
  </si>
  <si>
    <t>Mañana acaba el plazo para presentación de enmiendas a #LeyAmpliaciónPermisosPaternidad No somos familias de segunda ni lo son nuestros menores. #CuidadosEnIgualdad #IgualTiempoEnFamilia @sanchezcastejon @Pablo_Iglesias_ @ahorapodemos @agarzon @Albert_Rivera @monicaoltra</t>
  </si>
  <si>
    <t>https://pbs.twimg.com/media/DsZrEHyWoAIToxr.jpg</t>
  </si>
  <si>
    <t>Asociación de mujeres que hemos optado libremente por formar una #FamiliaMonoparental. Trabajamos en Red reivindicando nuestro modelo de familia 👩‍👧‍👦👩‍👧👩‍👧‍👧</t>
  </si>
  <si>
    <t>http://www.madressolterasporeleccion.org</t>
  </si>
  <si>
    <t>Pedro Herrero</t>
  </si>
  <si>
    <t>¿Por qué Albert Rivera no condena el franquismo ni se atreve a decir que Vox es extrema derecha? Twitter analiza los motivos:</t>
  </si>
  <si>
    <t>El Gobierno que repudia los mausoleos a dictadores rinde honores al 'demócrata' Mohamed V en el suyo? @UEmadrid @CasaReal @sanchezcastejon @pablocasado_ @Pablo_Iglesias_ @Albert_Rivera  vía @libertaddigital</t>
  </si>
  <si>
    <t>Trabajador. Político. Portavoz del @PSOE en el @AyuntamientoVLL #Valladolid @PSOE_AytoVLL</t>
  </si>
  <si>
    <t>https://www.libertaddigital.com/espana/2018-11-19/el-gobierno-que-repudia-mausoleos-a-dictadores-rinde-honores-al-democrata-mohamed-v-en-el-suyo-1276628470/</t>
  </si>
  <si>
    <t>¡Qué exagerado es Joan Tardà llamando fascista a Albert Rivera. ¿Verdad?</t>
  </si>
  <si>
    <t>https://pbs.twimg.com/media/DsiRzsYXcAAKSKa.jpg</t>
  </si>
  <si>
    <t>Esto Sí que es una Dictadura #SOSPRISIONES #DiaMundialDelRetrete #DiaInternacionalDelHombre #OTempoNãoPara #OTDirecto19NOV @anarosaq @HuffPost #MarlaskaDimision #PrisionesSinAgresiones #Marlaska ¿Dónde estás @ZaidaCantera? @pablocasado_ @oscarcurros @Albert_Rivera @policia RT @Pepita221: #SOSPrisiones Es cojonudo q las fuerzas y cuerpos de seguridad del estado carguen contra los funcionarios de prisiones por orden de los delegados del gobierno para que no corten los accesos a la prisión con la excusa de la salida de internos a juicio</t>
  </si>
  <si>
    <t>https://twitter.com/Pepita221/status/1064634859270885378</t>
  </si>
  <si>
    <t>Daniel Buendía</t>
  </si>
  <si>
    <t>Albert Rivera sólo podría decir de VOX que "ojalá". Por eso se calla como la rata asquerosa que es. Nada nuevo bajo el sol.</t>
  </si>
  <si>
    <t>Ciudadano del mundo</t>
  </si>
  <si>
    <t>#DebateCanalSur @JuanMarin_Cs es el muñeco de @Albert_Rivera</t>
  </si>
  <si>
    <t>Murcia, España</t>
  </si>
  <si>
    <t>Ni calvo ni para tanto. A veces escribo algo decente. Autor de Defectos Prácticos</t>
  </si>
  <si>
    <t>Me gusta el sur... y el norte</t>
  </si>
  <si>
    <t>Frikazo al que le gusta la informática, fotografía, actualidad, animales y ecología. Sobre todo, defensor de causas perdidas</t>
  </si>
  <si>
    <t>Pouer                                    ™</t>
  </si>
  <si>
    <t>A Josep Borrell le han escupido y a Albert Rivera le han tirado piedras.</t>
  </si>
  <si>
    <t>https://pbs.twimg.com/media/DsiRfPWXcAIq0qG.jpg</t>
  </si>
  <si>
    <t>El Madriz de Leganés</t>
  </si>
  <si>
    <t>Hipertenso con gafas.</t>
  </si>
  <si>
    <t>Un lector de ABC propone la denominación Real para los ejércitos españoles @CasaReal @sanchezcastejon @pablocasado_ @Pablo_Iglesias_ @Albert_Rivera  vía @ABCespana</t>
  </si>
  <si>
    <t>https://www.abc.es/espana/abci-lector-abc-propone-denominacion-real-para-ejercitos-espanoles-201811190256_noticia.html#ns_campaign=rrss-inducido&amp;ns_mchannel=abc-es&amp;ns_source=tw&amp;ns_linkname=noticia-foto&amp;ns_fee=0</t>
  </si>
  <si>
    <t>SAMUEL</t>
  </si>
  <si>
    <t>#DebateCanalSur aunque no votaré por ella, he decir que me parece que @TeresaRodr_ ha "ganado" el debate, @susanadiaz en su papel de jefa del cortijo y @JuanMarin_Cs @JuanMa_Moreno de palmeros de @albert_rivera y @pablocasado_</t>
  </si>
  <si>
    <t>España - México</t>
  </si>
  <si>
    <t>PickleRick</t>
  </si>
  <si>
    <t>P.A.P.E. Programa de Apoyo Para la Economía. A todos los políticos, entiendan que es por el bien de la sociedad no de su bolsillo.</t>
  </si>
  <si>
    <t>Borrell en el congreso, Reverte twittea en su defensa y Albert Rivera le da a me gusta. CUÑADISMO TOP TIER.</t>
  </si>
  <si>
    <t>Manuel Pérez Cortés</t>
  </si>
  <si>
    <t>Ya está @JuanMarin_Cs hablando de unos indultos que nadie ha mencionado... Ya no sé si se presenta el señor Marín o @Albert_Rivera e @InesArrimadas #SusanaGana #DebateCanalSur</t>
  </si>
  <si>
    <t>Esta cuenta no me representa.</t>
  </si>
  <si>
    <t>23. Soy de La🌟Salle, estudié en la @unisevilla y @elCorreoWeb fue mi escuela de #Periodismo. Máster en #Comunicación Institucional y #Política.</t>
  </si>
  <si>
    <t>http://elcorreoweb.es/movil/cronologia/noticias/meta/manuel-perez</t>
  </si>
  <si>
    <t>Los presupuestos de Sánchez son una estafa y son un sablazo para el bolsillo de la clase media trabajadora española. En Europa también le han pillado con el carrito del helado. No al #PactoDeLaCarcel #EleccionesYa #FakeSanchez</t>
  </si>
  <si>
    <t>Carmelo Prado</t>
  </si>
  <si>
    <t>"Ya quisiera yo ver a @Albert_Rivera ganando 900 euros al mes" dice @TeresaRodr_ Yo también quiero ver a @Pablo_Iglesias_ pagándose el chalet con eso. #DebateCanalSur</t>
  </si>
  <si>
    <t>Historia en la UHU. Librepensador empedernido, escritor ocasional e intento de músico frustrado.</t>
  </si>
  <si>
    <t>http://carmeloprado.wordpress.com</t>
  </si>
  <si>
    <t>Juan A. Gil</t>
  </si>
  <si>
    <t>.@TeresaRodr_: Es una falta de respeto no esperar hasta el 3D para hablar de Cataluña, y no hablar de Andalucía como toca. La misma falta de respeto que @Albert_Rivera diciendo que va a enseñarnos a pescar, o el @PPopular menospreciando a lxs niños/as andaluces #DebateCanalSur</t>
  </si>
  <si>
    <t>https://pbs.twimg.com/media/DsZkpGhX4AMCquN.jpg</t>
  </si>
  <si>
    <t>Economista. Master Economía de la Salud y Gestión Sanitaria. Activista en Defensa de la Sanidad Pública. Candidato número 4 por Málaga de @AdelanteAND 🗳 2D</t>
  </si>
  <si>
    <t>http://facebook.com/juangilpodemos/</t>
  </si>
  <si>
    <t>Francisco Amador</t>
  </si>
  <si>
    <t>Ha estado a punto de pedir el comodín del público para llamar @Albert_Rivera RT @crivasreina: Clama al cielo los 5 minutos de Ciudadanos hablando de Cataluña y Alsasua. Auténtica vergüenza. #Andalucía</t>
  </si>
  <si>
    <t>David Martínez</t>
  </si>
  <si>
    <t>“La bancada entera de Ciudadanos se levantó para aplaudir al ministro de Exteriores, pero la víspera Tardà había llamado fascista 7 veces a Albert Rivera y los socialistas se rieron por lo bajo”. La diferencia entre el constitucionalismo y el sanchismo👇🏻</t>
  </si>
  <si>
    <t>https://twitter.com/crivasreina/status/1064648739720175616</t>
  </si>
  <si>
    <t>Los Palacios y Villafranca</t>
  </si>
  <si>
    <t>Periodista en @sevillaactual @LaVozdeAlcala_ @EnAndaluz @Maravedismo</t>
  </si>
  <si>
    <t>http://sevillaactualidad.com</t>
  </si>
  <si>
    <t>PSOE MÁLAGA CENTRO</t>
  </si>
  <si>
    <t>No teníamos bastante @Albert_Rivera, sobre el procés, que ahora el @JuanMarin_Cs en lugar de #DebateCanalSur sobre #Andalucía, debate sobre #Cataluña. Lo que evidencia que @CiudadanosCs no tiene un proyecto para Andalucía. @susanadiaz, si tiene proyecto. #SusanaGana</t>
  </si>
  <si>
    <t>Comunicación, política y comunicación política. En @CiudadanosCs.</t>
  </si>
  <si>
    <t>Calle Ollerías, número 4.</t>
  </si>
  <si>
    <t>Agrupación Paco Román. email: centro@psoemalaga.es</t>
  </si>
  <si>
    <t>http://psoemalagacentro.es</t>
  </si>
  <si>
    <t>Óscar Irles</t>
  </si>
  <si>
    <t>Espero que os la peguéis en Andalucía, @CiudadanosCs, por poner otra vez al inútil de Marín. Si hace 4 años era un desastre, volver a ponerlo ahora tiene delito. No tiene nada, ni oratoria, ni enganche. No gusta a nadie. Teniendo a @LuisSalvador ahí... @Albert_Rivera @FranHervias</t>
  </si>
  <si>
    <t>San Fulgencio, España</t>
  </si>
  <si>
    <t>Subir el Nervión montado en la gabarra. JJOO. NBA. NY. Seriéfilo. Arya Stark. FU. Caskett. The Sound of Silence. Band of horses.</t>
  </si>
  <si>
    <t>¿Que los PGE se están negociando en una cárcel? @JuanMarin_Cs leyendo la partitura escrita por @Albert_Rivera e @InesArrimadas. #SusanaGana #DebateCanalSur</t>
  </si>
  <si>
    <t>clapton 1</t>
  </si>
  <si>
    <t>¿Por qué Albert Rivera no se atreve a decir que Vox es extrema derecha? Twitter analiza los motivos -  Albert COMO TE LO ESPLICO!,RIVERA ES DE EXTREMA DERECHA DESDE QUE ESTABA EN LOS HUEVOS DE SU PADRE, COMO VA HABLAR MAL DE VOX,HAY QUE ESTAR GILIPOLLAS!!</t>
  </si>
  <si>
    <t>El tocado de @Albert_Rivera es impresionante</t>
  </si>
  <si>
    <t>https://pbs.twimg.com/media/DsZhdjZWsAA0sX4.jpg</t>
  </si>
  <si>
    <t>66 jubilado y Amante del rock y del blues odio las injusticias.natural como la vida misma, LA IDQUIERDA SE CONSTRUYE CON HECHOS, Y NO CON PALABRAS.</t>
  </si>
  <si>
    <t>ricardo berjon</t>
  </si>
  <si>
    <t>⁦⁦@sanchezcastejon⁩ debe ser más valiente, es Ud.el presidente y no lo es ni Pablo Casado ni Albert Rivera, y es su prerrogativa y no la de ellos</t>
  </si>
  <si>
    <t>Bailarina 🎗</t>
  </si>
  <si>
    <t>Chico estáis TODO el día con el ventilador puesto... la política para cuando? Ya ... basta... páralo, piensa, reflexiona... y seguro que encontrarás argumentos políticos para hacer campaña basta del #ytumas. (Aplicable también a @Albert_Rivera ) Gracias! RT @pablocasado_: Votar a Susana Díaz es votar que Sánchez pacte con los independentistas, que los socialistas se reúnan con Otegi y que se manden emisarios a la cárcel para negociar los Presupuestos. Hay que acabar con esta alianza de la ‘S’ al cuadrado. #HackathonXelCambio</t>
  </si>
  <si>
    <t>https://www.youtube.com/watch?v=nyKcBUxQ7Ww&amp;feature=share</t>
  </si>
  <si>
    <t>https://twitter.com/pablocasado_/status/1063176784601067521</t>
  </si>
  <si>
    <t>https://pbs.twimg.com/media/DsEppU8WkAY9HFE.jpg</t>
  </si>
  <si>
    <t>leon</t>
  </si>
  <si>
    <t>Soy el aliento anhelante de la vida. El infierno y perdicion de la muerte. No prestéis con interés, sino dádselo a aquel que no va a poder devolverlo.</t>
  </si>
  <si>
    <t>Ganas de opinar... ganas de democracia... un poco de por favor...</t>
  </si>
  <si>
    <t>Mª Àngels Gudayol</t>
  </si>
  <si>
    <t>Sres. @pablocasado_ y @Albert_Rivera, pensaba yo que en las campañas electorales autonómicas se presentaban propuestas para solucionar problemas de aquella autonomía,y,sorpresa,solo oigo hablar de Catalunya,de golpistas,de lazos,de fugados...¿Tiene Andalucía algún problema...?</t>
  </si>
  <si>
    <t>Enamorada de Girona. Logopeda . M´agrada crear, decorar, llegir ,dibuixar i compartir</t>
  </si>
  <si>
    <t>http://somnisantic.cat</t>
  </si>
  <si>
    <t>Curro</t>
  </si>
  <si>
    <t>"Ahora resulta que somos fachas" Albert Rivera. RT @iescolar: ÚLTIMA HORA | PP y Ciudadanos se abstienen en la condena del Senado al franquismo un día después del 20N</t>
  </si>
  <si>
    <t>Una madre española durmiendo en la calle con su hijo de 4 años; no es de ningún colectivo minoritario, abandonada por el Gobierno de @sanchezcastejon #YaBasta actúen @pablocasado_ @Albert_Rivera @Santi_ABASCAL... #SosEspaña</t>
  </si>
  <si>
    <t>No entres dócilmente en esa buena noche</t>
  </si>
  <si>
    <t>https://elmetropolitanodemadrid.blogspot.com/2018/11/una-madre-tiene-que-dormir-con-su-hijo.html?m=1</t>
  </si>
  <si>
    <t>Juan Antonio</t>
  </si>
  <si>
    <t>¿quien lidera la derecha de #andalucia? @Albert_Rivera o @pablocasado_ .Aun estan decidiendo #debateCanalSur</t>
  </si>
  <si>
    <t>Pechina</t>
  </si>
  <si>
    <t>Concejal de Personal, Servicios, Cultura Fiestas de Pechina. Comprometido por PECHINA. Secretario de redes e innovación y coordinador del Bajo Andarax de la CEP</t>
  </si>
  <si>
    <t>Fernando C. M.</t>
  </si>
  <si>
    <t>¿Qué han hablado @Albert_Rivera y @InesArrimadas sobre #Andalucía en sus mítines? #DebateCanalSur</t>
  </si>
  <si>
    <t>https://pbs.twimg.com/media/DsZc3vJXQAE4yCy.jpg</t>
  </si>
  <si>
    <t>Periodista en proceso. Friki de @Coldplay. 🗣 🇪🇸 🇬🇧 🇫🇷 Madrid 🚅 Málaga</t>
  </si>
  <si>
    <t>📲 Juan Carlos Romero</t>
  </si>
  <si>
    <t>"En los últimos tres años y medio usted ha colaborado conmigo" ZASCA de @susanadiaz y PSOE Andaluz a @JuanMarin_Cs, a @Cs_Andalucia y saltándoles a ellos, directamente a @Albert_Rivera #DebateAND #DebateCanalSur</t>
  </si>
  <si>
    <t>Cecilio Castro#17MPensionesDignas</t>
  </si>
  <si>
    <t>El que No sepa comportarse en el Congreso o en el Senado,que se vayan a su casa. No tenemos por qué soportar a gente soez ni grosera en el Congreso. Rafael Hernando Gabriel Rufián Pablo Casado y Albert Rivera, representan la Anti-política, la mala educación y la grosería</t>
  </si>
  <si>
    <t>Castilblanco de los Arroyos</t>
  </si>
  <si>
    <t>PERIODISTA Andaluz. Viajo por lugares, personas y tiempos. Aprendí en @elcorreoweb @cextremadura y @abcdesevilla ¡Cuenta conmigo! 👉 juanca_sev@hotmail.com</t>
  </si>
  <si>
    <t>http://www.juancarlosromero.wordpress.com</t>
  </si>
  <si>
    <t>Torrelavega, Cantabria</t>
  </si>
  <si>
    <t>Diplomado Relaciones Laborales 22-11-75, Cantabria, Otra sociedad mas justa y libre es posible, entre todos podemos conseguirlo, Igualdad y justicia Social.</t>
  </si>
  <si>
    <t>http://es-la.facebook.com/cecilio.castro.777</t>
  </si>
  <si>
    <t>TheCrazyCabra</t>
  </si>
  <si>
    <t>Ni @susanadiaz da explicaciones a Marin ni @Albert_Rivera se las da a los policía en los aeropuertos 😂 #DebateCanalSur</t>
  </si>
  <si>
    <t>Aguilar</t>
  </si>
  <si>
    <t>en una misma mañana Ciudadanos se ha abstenido de condenar el franquismo en el Senado y Albert Rivera (el que llama golpista, racista, etc a todo el que se le cruce) no ha querido calificar a VOX de ultraderechista. Y hay gente que sigue creyendo que son "el centro moderado" 🤢</t>
  </si>
  <si>
    <t>Gracias @JuanMarin_Cs por su apoyo a la #EquiparacionYa y a @jusapol. Esos detalles hay que valorarlos 👏👏 #BrusselsJusapol21N #BrusselsJusapol21N @CiudadanosCs @MGutierrezCs @Albert_Rivera @JupolNacional @jucilnacional #GrupoB_ReclasificacionYa #BrusselsJusapol21N</t>
  </si>
  <si>
    <t>https://pbs.twimg.com/media/DsZXxQ0WwAANEky.jpg</t>
  </si>
  <si>
    <t>Me gusta mi trabajo pero NO mi sueldo</t>
  </si>
  <si>
    <t>Álvaro</t>
  </si>
  <si>
    <t>¿Qué da más asco, Antena3, Albert Rivera o Pablo Casado?</t>
  </si>
  <si>
    <t>Hago birra con agua del Tajo (y está buena)</t>
  </si>
  <si>
    <t>eva garcia</t>
  </si>
  <si>
    <t>Albert rivera : " trucho, trucho, que no te escucho" RT @AntonioMaestre: Normal, no quieren cabrear a su nicho electoral.</t>
  </si>
  <si>
    <t>https://twitter.com/AntonioMaestre/status/1065169303685775360
https://twitter.com/la_ser/status/1065154211707404288</t>
  </si>
  <si>
    <t>vivir no es sobrevivir. Todos tenemos derecho a las rosas. Porque si vivir,fuera sobrevivir, que problema habría con la esclavitud.</t>
  </si>
  <si>
    <t>PSOE de Fondón</t>
  </si>
  <si>
    <t>🎭 Albert Rivera se ha quitado la careta. Ya le hemos visto dos etapas: ☝🏻 Soy nuevo y vengo a traer gobernabilidad ✌🏻 Dejaremos que gobierne el Partido Popular Albert le ha dicho a Juan Marín lo mismo que cantaba...</t>
  </si>
  <si>
    <t>https://www.facebook.com/psoefondon/videos/490832538086614/</t>
  </si>
  <si>
    <t>Fondón, España</t>
  </si>
  <si>
    <t>Twitter oficial del PSOE del Municipio de Fondón (Almería). Conoce la Agrupación y Grupo Municipal, así como toda la actualidad. Compromiso con la transparencia</t>
  </si>
  <si>
    <t>http://psoefondon.blogspot.com.es/</t>
  </si>
  <si>
    <t>Albert Rivera no dice que VOX es la extrema derecha porque fue con la extrema derecha a las Europeas y es un caladero de votos importante al cual no le gusta que le definan como extrema derecha. RT @Tremending: ¿Por qué Albert Rivera no se atreve a decir que Vox es extrema derecha? Twitter analiza los motivos</t>
  </si>
  <si>
    <t>https://twitter.com/Tremending/status/1065215372352258050
https://www.publico.es/tremending/2018/11/21/por-que-albert-rivera-no-se-atreve-a-decir-que-vox-es-extrema-derecha-twitter-analiza-los-motivos/?utm_source=twitter&amp;utm_medium=social&amp;utm_campaign=tremending</t>
  </si>
  <si>
    <t>https://pbs.twimg.com/media/DshnuY5XQAANFaC.jpg</t>
  </si>
  <si>
    <t>Carmen</t>
  </si>
  <si>
    <t>De donde saca Albert Rivera tanto odio? Que falta de humanidad. Como político da miedo, como hombre da pena. Si de el dependiera, los políticos catalanes presos morirían en la cárcel. Albert,+ porque tanto odio al pueblo Catalán?</t>
  </si>
  <si>
    <t>Efrén Cruz</t>
  </si>
  <si>
    <t>Albert Rivera no ve fascistas, solo españoles. RT @La_SER: Albert Rivera evita calificar a Vox como un partido de ultraderecha La entrevista completa del líder de @CiudadanosCs en @HoyPorHoy con @PepaBueno →</t>
  </si>
  <si>
    <t>Chicharrero.🇮🇨 | Periodista por la @CanalULL | Máster @VillanuevaMPD 📺📰📻 | Aprendí en @Sefutbol y @Rfef, antes en @Laautonomica. Tenerife</t>
  </si>
  <si>
    <t>http://instagram.com/efrencruzg</t>
  </si>
  <si>
    <t>PUES AHI ME DEMUESTRA ALBERT RIVERA LO TONTO QUE ES PORQUE HAY QUE DECIR QUE SI QUE VOX ES ULTRADERECHISTA Y A MUCHISIMA HONRAAAAAAA RT @superwomanroja: Rivera evita calificar a Vox como un partido de ultraderecha porque su partido, Ciudadanos, es la misma basura fascista pero perfumada por el Ibex 35 y los medios. Que no te engañen👇</t>
  </si>
  <si>
    <t>https://twitter.com/superwomanroja/status/1065216762533298176</t>
  </si>
  <si>
    <t>pic.twitter.com/e9DhFxPRIA</t>
  </si>
  <si>
    <t>Jac Obo</t>
  </si>
  <si>
    <t>Cuidadano del mundo.Realista con el Presente,Optimista con el Futuro. Politica y cultura.</t>
  </si>
  <si>
    <t>⚔️ "Golpistas" vs "fascistas": el cruce de insultos entre el portavoz de @Esquerra_ERC, Joan Tardá, y el líder de @CiudadanosCs, Albert Rivera</t>
  </si>
  <si>
    <t>robertallica</t>
  </si>
  <si>
    <t>valladolid</t>
  </si>
  <si>
    <t>Me encanta el BARÇA, culé de toda la vida y antimadridista, el Thrash metal recorre mis venas con METALLICA,OVERKILL,TESTAMENT,ANTHRAX,KREATOR....#UnidosPodemos</t>
  </si>
  <si>
    <t>Adrià Barcelona</t>
  </si>
  <si>
    <t>Albert Rivera FASCISTA! Nos llame golpistas o no...</t>
  </si>
  <si>
    <t>https://www.lavanguardia.com/politica/20181120/453073801172/joan-tarda-albert-rivera-cada-vez-golpistas-llamaremos-fascista.html?utm_source=facebook&amp;utm_medium=social&amp;utm_content=politica&amp;utm_campaign=lv</t>
  </si>
  <si>
    <t>Rubí (Barcelona)</t>
  </si>
  <si>
    <t>Des d'una visió sempre internacionalista, lluito per l'alliberament dels pobles i les persones oprimides. Economista emprenyat. Anarco-comunista i Feminista.</t>
  </si>
  <si>
    <t>https://www.facebook.com/psoefondon/videos/519404998574698/</t>
  </si>
  <si>
    <t>Albertito23</t>
  </si>
  <si>
    <t>No se podía esperar de Albert Rivera... No sea q pierda votantes del extremo q le conviene. De momento va a perder votantes de centro. #nomemuevodelsofaenlasproximaselecciones RT @ElHuffPost: ÚLTIMA HORA: El Senado condena al franquismo con la abstención del PP, Ciudadanos, UPN y Foro Asturias</t>
  </si>
  <si>
    <t>...</t>
  </si>
  <si>
    <t>JARRYELSUSIO</t>
  </si>
  <si>
    <t>Cuando Ciudadanos tachaba de "espectáculo" el fletar autobuses políticos Albert Rivera plagia la idea de Podemos para alertar de hipotéticos indultos a los independentistas</t>
  </si>
  <si>
    <t>Pasajero de los sueños, orfebre de las sombras, navegante de oceanos muertos.</t>
  </si>
  <si>
    <t>Charlie James</t>
  </si>
  <si>
    <t>Esta tarde Albert Rivera estará absteniéndose de firmar condenas al franquismo en el Fnac de Callao, de 18:00 a 20:00.</t>
  </si>
  <si>
    <t>A Estrada, Galicia Profunda</t>
  </si>
  <si>
    <t>De A Estrada. Intolerante de collóns, pero cun corazón ghrande e ghordo. Traballo no desenvolvemento de software en @dimensionaCT</t>
  </si>
  <si>
    <t>http://carlosjai.me</t>
  </si>
  <si>
    <t>Sergio Romero</t>
  </si>
  <si>
    <t>Andalucía-España-Europa</t>
  </si>
  <si>
    <t>Papá. Diputado en la X legislatura del Parlamento de #Andalucía. Portavoz provincial de @CiudadanosCs y candidato Nº1 por #Cádiz en las autonómicas del 🗳2D</t>
  </si>
  <si>
    <t>http://linkedin.com/in/sergio-romero-jiménez-a4806030</t>
  </si>
  <si>
    <t>filosofovirtual</t>
  </si>
  <si>
    <t>Tip 4. Manuel Valls en Cataluña, el pack Inés Arrimadas&amp;Albert Rivera de tour. ¿Es un efecto de personalitzades de "renegado" o "hijo pródigo"? (Ellos cobran pase lo que te pase a ti... materia prima votants)</t>
  </si>
  <si>
    <t>Democratic Republic of Catalonia</t>
  </si>
  <si>
    <t>España: En tiempos de decadència del pensamiento racional y exaltación de los instintos, hace falta reflexionar...</t>
  </si>
  <si>
    <t>Los tuiteros analizan por qué Rivera no quiere decir que Vox es extrema derecha: “Entre bomberos no se pisan la manguera”</t>
  </si>
  <si>
    <t>https://pbs.twimg.com/media/DshoMk6W0AoLGWr.jpg</t>
  </si>
  <si>
    <t>Adrián Barbón</t>
  </si>
  <si>
    <t>Mientras yo condenaba desde Teverga la amenaza de la extrema derecha, Albert Rivera, desde Madrid, era incapaz de condenar a Vox por ser extrema derecha. Y todo así. La deriva de Ciudadanos es muy preocupante. Contra la extrema derecha, claridad de ideas.</t>
  </si>
  <si>
    <t>Asturias (España)</t>
  </si>
  <si>
    <t>Del 4 de enero de 1979, del PSOE y de Laviana. ¿La Política? ¡Mi pasión! Ahora, con el apoyo de la militancia, Secretario General de la @FSA_PSOE</t>
  </si>
  <si>
    <t>http://fsa-psoe.org</t>
  </si>
  <si>
    <t>Javier Diego</t>
  </si>
  <si>
    <t>https://www.publico.es/tremending/2018/11/21/por-que-albert-rivera-no-se-atreve-a-decir-que-vox-es-extrema-derecha-twitter-analiza-los-motivos/?utm_source=facebook&amp;utm_medium=social&amp;utm_campaign=publico</t>
  </si>
  <si>
    <t>#Enfermero MI en el#Hospital Tres Mares. Cuidando y creciendo. We Who Are Not As Others</t>
  </si>
  <si>
    <t>Luis#AGaloparAGalopar</t>
  </si>
  <si>
    <t xml:space="preserve">En este asco de mundo </t>
  </si>
  <si>
    <t>Al contrario del esquema habitual me he hecho gradualmente más rebelde a medida que envejezco. Bertrand Russell</t>
  </si>
  <si>
    <t>@Ni-ne-ta Cat 🌹</t>
  </si>
  <si>
    <t>ALBERT RIVERA NO ES ANALISTA POLÍTIC QUAN ES TRACTA DE PARLAR DE VOX.... NOSALTRES SOM GOLPISTES PER POSAR URNES‼️ NO HAY MÁS PREGUNTAS SEÑORÍA..... RT @iescolar: Rivera evita catalogar a Vox como un partido de extremaderecha: "No soy analista político"</t>
  </si>
  <si>
    <t>Catalunya #nopassaran</t>
  </si>
  <si>
    <t>II*II Servidora de la República 🎗️ Ni cap estat, ni cap exèrcit podrà amb nosaltres. #elpoblemanaelgovernobeeix #TardorCalenta 18 Oct</t>
  </si>
  <si>
    <t>https://www.facebook.com/psoefondon/videos/338337640279078/</t>
  </si>
  <si>
    <t>Albert Rivera en VI Escuela de Verano DENAES 2012 📢 LOS ELECTORES NO ELIGEN,</t>
  </si>
  <si>
    <t>https://youtu.be/V9YYQDqha-Q?tbo84=9812276620</t>
  </si>
  <si>
    <t>Mbb</t>
  </si>
  <si>
    <t>Maestro de primaria.</t>
  </si>
  <si>
    <t>Sergio Nieto</t>
  </si>
  <si>
    <t>Golpistas, proetarras, populistas, gobierno Frankenstein, radicales de extrema izquierda... Albert Rivera, Rey de la Etiqueta y Presidente del Club de los Constitucionalistas, quien vive electoralmente de calificar y señalar al resto de formaciones políticas. Menos a VOX, claro. RT @La_SER: Albert Rivera evita calificar a Vox como un partido de ultraderecha La entrevista completa del líder de @CiudadanosCs en @HoyPorHoy con @PepaBueno →</t>
  </si>
  <si>
    <t>Granada/Barcelona</t>
  </si>
  <si>
    <t>Estudiante de Máster en Marketing Digital. Graduado en Publicidad y RRPP. Persona en un lugar llamado mundo. Seriéfilo y cinéfilo. NFL. Chicago Bears</t>
  </si>
  <si>
    <t>Neska</t>
  </si>
  <si>
    <t>Yo tampoco soy una analista política Albert Rivera, aun así he concluido que tu eres un facha.</t>
  </si>
  <si>
    <t>Cinéfila y seriefila empedernida. Comento realities varios. All you need is koalas 💜. No se admiten mas reclamaciones sobre @Nhionman, no tiene remedio.</t>
  </si>
  <si>
    <t>Insisto. La deriva de Ciudadanos y Albert Rivera es preocupante. RT @iescolar: Rivera evita catalogar a Vox como un partido de extremaderecha: "No soy analista político"</t>
  </si>
  <si>
    <t>RedJurídica Abogad@s</t>
  </si>
  <si>
    <t>Albert Rivera elude calificar a Vox como partido de extrema derecha  vía @elpais_espana</t>
  </si>
  <si>
    <t>https://elpais.com/politica/2018/11/21/actualidad/1542795112_974513.html?id_externo_rsoc=TW_CC</t>
  </si>
  <si>
    <t>C/ Alberto Aguilera 7 - 3D</t>
  </si>
  <si>
    <t>Cooperativa Jurídica para la Transformación Social. LA ABOGACÍA NECESARIA.</t>
  </si>
  <si>
    <t>http://red-juridica.com/</t>
  </si>
  <si>
    <t>El presidente de Ciudadanos, Albert Rivera, ha evitado esta mañana calificar a Vox como partido de extrema derecha porque argumenta que no es analista político y no se dedica a eso</t>
  </si>
  <si>
    <t>http://ow.ly/yATz30mHmj1</t>
  </si>
  <si>
    <t>Qué echan hoy</t>
  </si>
  <si>
    <t>Albert Rivera, presidente de Ciudadanos, en Los desayunos de TVE, mañana a las 08:30</t>
  </si>
  <si>
    <t>Yo soy la Ale</t>
  </si>
  <si>
    <t>Le ha faltado tiempo a Albert Rivera para torcer lo que NO ha pasado hoy en el Congreso entre Borrell y ERC , a su favor . Y dice que el diputado « Ha escupido a España » ' NO , Señor Rivera . Primero , no ha escupido nadie . Y segundo , a España ? Borrell no es España .</t>
  </si>
  <si>
    <t>Algeciras</t>
  </si>
  <si>
    <t>Escritora indignada .</t>
  </si>
  <si>
    <t>sardinapicante 🐟</t>
  </si>
  <si>
    <t>Él, en cambio, es superindependiente de Albert Rivera RT @mikysalo: El Partido Socialista de la Región de Murcia es una mera comparsa del Presidente Sánchez y de la Ministra Ribera, y estos a su vez son sendas comparsas de Podemos</t>
  </si>
  <si>
    <t>https://twitter.com/mikysalo/status/1065238439686258688
https://www.laverdad.es/murcia/miguel-sanchez-psrmpsoe-20181121125953-nt.html</t>
  </si>
  <si>
    <t>Mordaz, humor en política y medios. Y otras veces hablando en serio. Pasé x @eldiariomurcia @laverdad_es y @TVMurciana Cotilleos por MD 😜</t>
  </si>
  <si>
    <t>http://www.eldiario.es/autores/la_sardina/</t>
  </si>
  <si>
    <t>🎭 Albert Rivera se ha quitado la careta. Ya le hemos visto 2 etapas: ☝🏻 Soy nuevo y vengo a traer gobernabilidad ✌🏻 Dejaremos que gobierne el PP Albert le ha dicho a Marín lo mismo que cantaba Pimpinela: "Olvídalo todo, olvida su nombre... que tú para eso tienes experiencia"</t>
  </si>
  <si>
    <t>pic.twitter.com/fkhA5D11uY</t>
  </si>
  <si>
    <t>MARIANO RAJOY FAKE</t>
  </si>
  <si>
    <t>Albert Rivera sabe que Gabriel Rufián es un golpista. Albert Rivera no sabe que Santiago Abascal es un fascista. #SesiónDeControl</t>
  </si>
  <si>
    <t>Registrador de la propiedad. Muy español y mucho español.</t>
  </si>
  <si>
    <t>Sergio ✊🏻</t>
  </si>
  <si>
    <t>Albert Rivera el gran hombre de Estado, el gran político de centro, ese gran estadista que se niega a calificar de extrema derecha a la extrema derecha y se abstiene de condenar el franquismo y su exaltación, total han sido sólo 40 añitos de dictadura... RT @La_SER: Albert Rivera evita calificar a Vox como un partido de ultraderecha La entrevista completa del líder de @CiudadanosCs en @HoyPorHoy con @PepaBueno →</t>
  </si>
  <si>
    <t>Madrid - Carabanchel.</t>
  </si>
  <si>
    <t>'Cuanto peor mejor para todos y cuanto peor para todos mejor, mejor para mí el suyo beneficio político'' Políticas en URJC ¿esto es serio?Política❤🔻UPodemos</t>
  </si>
  <si>
    <t>https://Instagram.com/romangsergio</t>
  </si>
  <si>
    <t>El HuffPost</t>
  </si>
  <si>
    <t>La réplica de Atresmedia a Albert Rivera por lo que ha escrito sobre 'La casa de papel'</t>
  </si>
  <si>
    <t>▶Facebook http://bit.ly/1sDqXwu ▶Telegram http://bit.ly/1sDriPC ▶Android http://bit.ly/1NcE6TE ▶iOS http://bit.ly/1AokTa1</t>
  </si>
  <si>
    <t>http://www.huffingtonpost.es</t>
  </si>
  <si>
    <t>El falangista de Albert Rivera se niega a reconocer que Vox es un partido de ultraderecha. Normal, son sus compañeros de viaje😬</t>
  </si>
  <si>
    <t>Albert Rivera, sobre Sánchez: “Que convoque elecciones y gane el mejor”</t>
  </si>
  <si>
    <t>http://telemd.es/_jwiu2</t>
  </si>
  <si>
    <t>@MilaLlambi</t>
  </si>
  <si>
    <t>I was always very unfocused and I wanted to try my hand at different types of issues. Physician.</t>
  </si>
  <si>
    <t>Espanya</t>
  </si>
  <si>
    <t>Carles Cuevas is.</t>
  </si>
  <si>
    <t>Albert Rivera después de las elecciones catalanas.</t>
  </si>
  <si>
    <t>https://pbs.twimg.com/media/Dsh8afcXQAImyij.jpg</t>
  </si>
  <si>
    <t>Actor: http://tinglaomanagement.com/lens_portfolio/carles-cuevas/ En @ecartelera, y en #lacuevadebruce https://www.youtube.com/channel/UCpmTkJqXDxjtc4RLf_e2zyw</t>
  </si>
  <si>
    <t>http://Instagram.com/carlescuevas</t>
  </si>
  <si>
    <t>"Tampoco van a mear en su propia piscina". Vía @Tremending</t>
  </si>
  <si>
    <t>Andaluz</t>
  </si>
  <si>
    <t>no hay mayor idiota que el obrero patriota del estado que lo explota.</t>
  </si>
  <si>
    <t>Jacobson Naufragado</t>
  </si>
  <si>
    <t>Alguien piensa que Albert Rivera no es fascista, que escándalo RT @dilleu: @jmmacmartin OS ADVERTIMOS desde hace varios años de como son esos.. ahora os vienen las sorpresas..? Sabes que tu amiga Argelia no considera fascista a Albert Rivera..? Pues seguid así.. nosotros iremos preparando #palomitas</t>
  </si>
  <si>
    <t>https://twitter.com/dilleu/status/1064975568586854400</t>
  </si>
  <si>
    <t>Industrial de Provincia</t>
  </si>
  <si>
    <t>Antes tenía una contraportada de Alberto Moravia pero el logaritmo que todo destruye, lo persigue y censura todo. Un Harry Lime del subdesarrollo</t>
  </si>
  <si>
    <t>Jorge Estrella Benav</t>
  </si>
  <si>
    <t>FASCISTAS contra GOLPISTAS (Albert Rivera - Joan Tardá)  vía @YouTube Fascista, con toda claridad, fuerte y claro.</t>
  </si>
  <si>
    <t>https://youtu.be/g6iGsNwc2EU</t>
  </si>
  <si>
    <t>Guayaquil- Ecuador</t>
  </si>
  <si>
    <t>Guayaquileño, hincha a muerte de Emelec, me gusta la historia y las ciencias politicas. Impulso procesos de participacion ciudadana, entre lo más importante.</t>
  </si>
  <si>
    <t>Maitane D.</t>
  </si>
  <si>
    <t>Me emputa que llamen golpistas a las diputadas de @Esquerra_ERC. Parece que Albert Rivera no fue a clase de historia.</t>
  </si>
  <si>
    <t>Castilla</t>
  </si>
  <si>
    <t>En lucha constante contra el cisheteropatriarcado y el capitalismo. My body, my rules.</t>
  </si>
  <si>
    <t>Vip🎗️</t>
  </si>
  <si>
    <t>Jajajaja y Albert Rivera se molesta cuando le llaman fascista jajaja, más claro? RT @iescolar: ÚLTIMA HORA | PP y Ciudadanos se abstienen en la condena del Senado al franquismo un día después del 20N</t>
  </si>
  <si>
    <t>SEXTETE</t>
  </si>
  <si>
    <t>Del Barça desde esperma, antimadridista, Odio la política corrupta de este país. Republicano. Amante de la tecnología y animales. Diseñador gráfico.</t>
  </si>
  <si>
    <t>ALBERT RIVERA denota que PROCEDE del PP mas CONSERVADOR 🔔 IDEALIDAD REPUBLICANA, 🔊 ESTAR LIBRE,</t>
  </si>
  <si>
    <t>https://goo.gl/7eQaCN?nbz57=7597013338</t>
  </si>
  <si>
    <t>alejohborges</t>
  </si>
  <si>
    <t>tenerife</t>
  </si>
  <si>
    <t>César M. Ballesteros 🌐</t>
  </si>
  <si>
    <t>El curioso caso de Albert Rivera: es analista político cuando habla de Podemos y no lo es si se trata de Vox. También se despierta por la mañana de centro y se acuesta conservador así que son milagros albertianos.</t>
  </si>
  <si>
    <t>XXVII🇪🇺🇪🇸🏳️‍🌈‍. Profesor de Geografía🌍 e Historia⌛️. Curioso por naturaleza. Socialdemócrata e independiente🌹. Bloguero 🖱️. Nadie debería matarse por política</t>
  </si>
  <si>
    <t>http://elblogdecesarmb.blogspot.com/</t>
  </si>
  <si>
    <t>J.A.R.</t>
  </si>
  <si>
    <t xml:space="preserve">Santa Cruz de Tenerife </t>
  </si>
  <si>
    <t>#Micromaster @TwitterEspana me “choricea”seguidores,hasta cuando @NathaliePicquot?⛔️fachas.Sin información no hay opinión. Las naranjas me sientan fatal 🍅🤮</t>
  </si>
  <si>
    <t>Roberto Martín</t>
  </si>
  <si>
    <t>-Su turno señor Albert Rivera. Empieza por la "E": Si para usted #Podemos es extrema derecha, #VOX es... -Ehhhhhh, pasopalabra.</t>
  </si>
  <si>
    <t>https://pbs.twimg.com/media/Dsh4gNrWkAE0H14.jpg</t>
  </si>
  <si>
    <t>Dile a Don Bot que dejo el crimen organizado, a partir de ahora me dedicaré sólo al crimen normal. ¡Y todo lo que pasa en el mundo ya lo predijeron Los Simpson!</t>
  </si>
  <si>
    <t>Pepa Bueno deja en evidencia a un Rivera vacilante por negarse a definir a VOX (Compartir desde Armorfly Browser)</t>
  </si>
  <si>
    <t>En16nueve</t>
  </si>
  <si>
    <t>Albert Rivera y su violencia verbal es lo peor que le ha pasado a este país en muchos años. De aquellos barros, estos lodos. #congreso #borrell</t>
  </si>
  <si>
    <t>Millennial. Consultor. Televisión y radio. Los medios vistos desde el marketing.</t>
  </si>
  <si>
    <t>http://blogs.formulatv.com/elojoen169/</t>
  </si>
  <si>
    <t>taur.elnath</t>
  </si>
  <si>
    <t>Atentos a Ferreras de @DebatAlRojoVivo que da dos noticias: una que Albert Rivera no es fascista, y la otra que C’s no ha querido condenar el franquismo. Qué vergüenza das, Ferreras.</t>
  </si>
  <si>
    <t>United Kingdom</t>
  </si>
  <si>
    <t>Éstas son mis opiniones en contexto de debate político. Ni RT ni FAV suponen necesariamente afinidad ni concordancia con mi pensamiento.</t>
  </si>
  <si>
    <t>Albert Rivera: "De Podemos no me gusta lo que dice, de Vox 'algunas cosas' cosas no me gusta lo que dicen" después "Sánchez ha pactado con populistas" 🤔</t>
  </si>
  <si>
    <t>València/Barcelona</t>
  </si>
  <si>
    <t>Estudiante de aquitectura. Disléxico, tenedlo en cuenta. | #IIIRepublica | 🌹 🇪🇺</t>
  </si>
  <si>
    <t>DiletanteLópez</t>
  </si>
  <si>
    <t>KIKO LOPEZ</t>
  </si>
  <si>
    <t>Pol Pitart Marriott</t>
  </si>
  <si>
    <t>Albert Rivera da asco y vergüenza. Es una persona tóxica.</t>
  </si>
  <si>
    <t>La Moncloa, Spain</t>
  </si>
  <si>
    <t>Se mucho de cine.Mis 3 generos favoritos son el de zombies,el de orcos y el de simios.Me he visto todas las pelis.Sólo como cereales,actimeles y pizzas</t>
  </si>
  <si>
    <t>brivas</t>
  </si>
  <si>
    <t>Simplemente un ser humano, al menos eso intento. Ciudadano del mundo.</t>
  </si>
  <si>
    <t>‼️CON UN PAR‼️ Albert RIVERA 💥RE-MA-TA💥 a Pedro SÁNCHEZ por los INDULTOS...  vía @YouTube</t>
  </si>
  <si>
    <t>¡Toma la calle!</t>
  </si>
  <si>
    <t>SON LO MISMO Y PUNTO!!!!! ¿Por qué Albert Rivera no se atreve a decir que Vox es extrema derecha? Twitter analiza los motivos -</t>
  </si>
  <si>
    <t>Belgium, republic of Spain</t>
  </si>
  <si>
    <t>Hijo de emigrantes andaluces en Bélgica #UnidasPodemos #AdelanteAndalucia</t>
  </si>
  <si>
    <t>Crónicas de Terminus</t>
  </si>
  <si>
    <t>Albert Rivera tiene una pequeña obsesión con las palabras terminadas en - istas?</t>
  </si>
  <si>
    <t>Ayer salí de fiesta con Albert Rivera y hoy me hago un Twitter</t>
  </si>
  <si>
    <t>Periko</t>
  </si>
  <si>
    <t>Albert Rivera, se presentó a las elecciones europeas con Libertas, un partido fascistas..... lo llamamos YÁ, Fascista....🤔 #BroncaCongresoARV #FelizMiércoles ,</t>
  </si>
  <si>
    <t>https://pbs.twimg.com/media/Dsh1791WoAMFmyG.jpg</t>
  </si>
  <si>
    <t>Pais Valenciá</t>
  </si>
  <si>
    <t>Republicano, Animalista, Ciudadano del Mundo.</t>
  </si>
  <si>
    <t>¡¡HUYAMOS!!!</t>
  </si>
  <si>
    <t>Unineuronales Sin Fronteras 🤣🤣🤣🤣🤣🤣🤣</t>
  </si>
  <si>
    <t>El mundo mundial</t>
  </si>
  <si>
    <t>Mujer. 66 años. En Españistán he visto de todo menos sentido común.</t>
  </si>
  <si>
    <t>Mioon🎗Crida Nacional</t>
  </si>
  <si>
    <t>Se puede votar a Ciudadanos por desconocimiento, pero votar a Ciudadanos después de escuchar a Toni Cantó, Albert Rivera, Inés Arrimadas o Arcadi Espada... es directamente de gilipollas o fascistas.</t>
  </si>
  <si>
    <t>Deseando que la justicia vuelva</t>
  </si>
  <si>
    <t>🎥 Hoy los socios separatistas del PSOE han escupido a España. Mientras Sánchez les promete indultos, nosotros hemos salido a defender a Borrell. ¿Hasta cuándo piensa permitir estas humillaciones al pueblo español? #EleccionesYa @120minutosTM</t>
  </si>
  <si>
    <t>Laura Fernández ✨</t>
  </si>
  <si>
    <t>He disfrutado viendo como Joan Tardà replicaba el “super periodismo” de Antonio Ferrerras... - Ferreras: ¿Usted cree que Albert Rivera es un fascista? - @JoanTarda: ¿Usted cree que yo soy un golpista? #BroncaCongresoARV</t>
  </si>
  <si>
    <t>BCN Periodista. Col•laboradora a @_elpregoner a Mataró Ràdio i @MataroNoticies. Aquí només opinió personal</t>
  </si>
  <si>
    <t>http://www.linkedin.com/in/laura-fernandez-diaz</t>
  </si>
  <si>
    <t>miguelito</t>
  </si>
  <si>
    <t>A ver qué yo sepa el único líder que se ha presentado a unas elecciones con un partido fascista es Albert Rivera y si no que me lo contradigan.</t>
  </si>
  <si>
    <t>#broncacongresoarv venga @Mhemeroteca seguro que esto si lo sacáis hoy en @laSextaTV @DebatAlRojoVivo ni media palabra a Toni Cantó en directo, que poca vergüenza tiene el marido de @_anapastor_</t>
  </si>
  <si>
    <t>Dra. Fabiana Lemos</t>
  </si>
  <si>
    <t>España, Salamanca y Madrid</t>
  </si>
  <si>
    <t>Médica #psicoterapeuta. Másteres en #psicoanálisis; en #psicología #clínica y #psicoterapia; en PC y PT en la #infancia y #adolescencia; en Psicoterapia #breve.</t>
  </si>
  <si>
    <t>http://drafabianalemos.com</t>
  </si>
  <si>
    <t>Xarnego Sediciós⚡️</t>
  </si>
  <si>
    <t>Albert Rivera nos ha llamado golpistas, proetarras, populistas, supremacistas, racistas, extrema izquierda, secesionistas, etc; pero mira, a VOX no lo va a definir, que no es analista político. Menuda ameba de mierda.</t>
  </si>
  <si>
    <t>Sabadell - Sentmenat</t>
  </si>
  <si>
    <t>Expert en tirar endavant.</t>
  </si>
  <si>
    <t>Marina Lobo @marinaLobL Albert Rivera lleva años hablando de “separatistas, bolivarianos y proetarras” pero le piden que defina a Vox y no lo hace porque “no es analista político”. Es que te tienes que reír. LAS INCONGRUENCIAS DEL EXTREMO CENTRO SENSATO</t>
  </si>
  <si>
    <t>Le Dice ferreras a Joan tarda en @DebatAlRojoVivo que Albert rivera no es fascista. Me parto jajaja ese es el periodismo español, que tristeza.</t>
  </si>
  <si>
    <t>Pepa Bueno deja en evidencia a un Rivera vacilante por negarse a definir a VOX. Vía @En_Blau_es</t>
  </si>
  <si>
    <t>✪kin</t>
  </si>
  <si>
    <t>Ferreras, limpiabotas de Albert Rivera, lo de Catalunya ya te queda grande. Mejor dedícate a los motores eléctricos de 2040 o a lo del chalé de Iglesias. #máspantuflismo #BroncaCongresoARV</t>
  </si>
  <si>
    <t>Mi patria en mis zapatos.</t>
  </si>
  <si>
    <t>estoy de paso... #BastaDeCasta</t>
  </si>
  <si>
    <t>http://historiaignoradadelahumanidad.wordpress.com/</t>
  </si>
  <si>
    <t>alt er love</t>
  </si>
  <si>
    <t>Oye pues me parece de puta madre que le digan fascista a Albert Rivera si va llamando golpistas a los que defienden la democracia xd</t>
  </si>
  <si>
    <t>Andén 9¾, Hogwarts</t>
  </si>
  <si>
    <t>Es la calidad de las convicciones y no el número de seguidores lo que determina el éxito.♀☭ 📚 Educación Social - UV 31.03.18 hs💗 20.04.18 ldr💗</t>
  </si>
  <si>
    <t>http://instagram.com/estheer_c</t>
  </si>
  <si>
    <t>Cecilia Grierson</t>
  </si>
  <si>
    <t>"Usted sabe que Albert Rivera no es un fascista, eso es banalizar..." Ferreras a @JoanTarda Ahí ahí, defendiendo a Rivera y blanqueando al "democráta" q se llena la boca diciendo golpistas a gente de paz, que solo quiso votar. #periodismo #BroncaCongresoARV #SesiónDeControl</t>
  </si>
  <si>
    <t>Valencia, Spain</t>
  </si>
  <si>
    <t>Live to tell</t>
  </si>
  <si>
    <t>Es tan fácil saber que Albert Rivera es #fascista, cuando nunca ha sido capaz de condenar ni el #FRANQUISMO, ni el #FASCISMO. Así de fácil!! #BroncaCongresoARV</t>
  </si>
  <si>
    <t>Angel Gómez González</t>
  </si>
  <si>
    <t>Albert Rivera se ha tirado al monte, y en el monte le espera Rufián, su hábitat natural. Ambos se retroalimentan. El uno le llama golpista y el otro fascista, y nosotros terminaremos sin saber cuál es cuál. Aunque siempre los golpistas y los fascistas han sido los mismos.</t>
  </si>
  <si>
    <t>Cuéllar  (Segovia)</t>
  </si>
  <si>
    <t>Maestro y Socialista. Comprometido con la lucha por la igualdad. Director de Los Mirmidones y de Tempus Gaudii, grupos de teatro aficionado.</t>
  </si>
  <si>
    <t>Jose Luis Camacho</t>
  </si>
  <si>
    <t>Albert Rivera está obsesionado con decir golpistas xddd</t>
  </si>
  <si>
    <t>Huelva</t>
  </si>
  <si>
    <t>.</t>
  </si>
  <si>
    <t>Vergonzoso Ferreras de @DebatAlRojoVivo blanqueando a Albert Rivera. Ay, cómo se le ve el plumero a la Élite Extractiva del PPSOE’s. Y Ferreras es demasiado afín a ellos.</t>
  </si>
  <si>
    <t>Alex</t>
  </si>
  <si>
    <t>Albert Rivera no es fascista,solo lo es cuando habla #BroncaCongresoARV</t>
  </si>
  <si>
    <t>Solo hay un dios y se llama dinero</t>
  </si>
  <si>
    <t>Exiliado</t>
  </si>
  <si>
    <t>Albert Rivera sobre PODEMOS y los independentistas: "son populistas, antidemócratas y golpistas" Albert Rivera sobre si VOX es un partido de ultraderecha: "No soy analista político" Yo: No me puedo creer que haya un 20% de gilipollas que quieran votar a este señor en España.</t>
  </si>
  <si>
    <t>London</t>
  </si>
  <si>
    <t>Republicano, ateo y feminista. Informador / Crítico desde la izquierda, de la de verdad. ✊</t>
  </si>
  <si>
    <t>D. Walsh 🍭</t>
  </si>
  <si>
    <t>Qué oportunidad TAN BUENA que ha perdido Tardá para decirle a Ferreras en la cara que sí, que Albert Rivera es una puto facha de mierda!!! LAS COSAS CLARAS #BroncaCongresoARV</t>
  </si>
  <si>
    <t>San Cristóbal de la Laguna</t>
  </si>
  <si>
    <t>De izquierdas y feminista - Del Barça y de la buena música!</t>
  </si>
  <si>
    <t>BWOOAAH 🇦🇶</t>
  </si>
  <si>
    <t>"Sabe que Albert Rivera no es fascista" Mejor chiste que los de Leo Harlem. #ARV</t>
  </si>
  <si>
    <t>Nordrhein-Westfalen</t>
  </si>
  <si>
    <t>Tengo un Galaxy Note 8. #sincebollista</t>
  </si>
  <si>
    <t>http://flavors.me/tamkiki</t>
  </si>
  <si>
    <t>Fernando Abrantes</t>
  </si>
  <si>
    <t>#BroncaCongresoARV Ferreras a Tardá "Usted sabe que Albert Rivera no es fascista...". Bueno bueno, Antonio, no te vengas tanto a arriba...los ramalazos fascistas de C's son más que evidentes...</t>
  </si>
  <si>
    <t>Bajista,cantante,compositor en http://finneymusic.bandcamp.com. Beatles, Smashing Pumpkins,Pixies, Nirvana, Radiohead, MBV...la banda sonora de mi vida.</t>
  </si>
  <si>
    <t>Némesis</t>
  </si>
  <si>
    <t>«También es banalizar el término fascista llamar a Albert Rivera, fascista. Usted sabe que Albert Rivera no es fascista. Usted lo sabe». Ferreras a Tardá, in love con Riverita.</t>
  </si>
  <si>
    <t>De Las Nadies de toda la vida. El cine regala pequeños fragmentos de vida que nunca olvidarás (Fellini en 'Amarcord').</t>
  </si>
  <si>
    <t>" Usted sabe que Albert Rivera no es una fascista, lo sabe " Ferreras a Tardà Flipante el blanqueamiento que le hacen a Rivera en La Sexta. #BroncaCongresoARV</t>
  </si>
  <si>
    <t>JYA</t>
  </si>
  <si>
    <t>#BroncaCongresoARV Ferreras el que no sabe que Albert Rivera es un FASCISTA eres tú.</t>
  </si>
  <si>
    <t>Que nadie construya su verdad en tu consciencia sin que antes hayas contrastado que asi es por ti mismo</t>
  </si>
  <si>
    <t>gau evans 🇬🇧</t>
  </si>
  <si>
    <t>Dice Albert Rivera que a el tambien le han escupido</t>
  </si>
  <si>
    <t xml:space="preserve">Mclaren's </t>
  </si>
  <si>
    <t>Find Your Magic. The feeling that show your uniqueness. It's your style, your way. Now work on it.</t>
  </si>
  <si>
    <t>Albert Rivera. Entrevista en "Hoy por hoy" de la Cadena SER  vía @YouTube</t>
  </si>
  <si>
    <t>https://youtu.be/RQtT__tQB_4</t>
  </si>
  <si>
    <t>La deriva de Ciudadanos y Albert Rivera es, como poco, preocupante. RT @La_SER: Albert Rivera evita calificar a Vox como un partido de ultraderecha La entrevista completa del líder de @CiudadanosCs en @HoyPorHoy con @PepaBueno →</t>
  </si>
  <si>
    <t>Javi ®</t>
  </si>
  <si>
    <t>Cual es la parte favorita de Albert Rivera en un partido de basket? Los tiros libres.</t>
  </si>
  <si>
    <t>Bilbao, País Vasco</t>
  </si>
  <si>
    <t>Mastúrbame Mal</t>
  </si>
  <si>
    <t>que pasa carapasa</t>
  </si>
  <si>
    <t>Mansión PlayBoy</t>
  </si>
  <si>
    <t>Es muy difícil hacer mal una paja. Y a mi me gustan los retos.</t>
  </si>
  <si>
    <t>Im-Pulso</t>
  </si>
  <si>
    <t>INFO-DEMOSTRACIÓN de que además de buen nacionalista español, Albert Rivera es amigo de sus amigos: @Tremending →</t>
  </si>
  <si>
    <t>https://pbs.twimg.com/media/Dshrv5OWsAMsLmt.jpg</t>
  </si>
  <si>
    <t>A Coruña (Península Ibérica, Europa)</t>
  </si>
  <si>
    <t>Incursiones de un viejo periodista viejo en el mundo de la información del mosaico español.</t>
  </si>
  <si>
    <t>http://im-pulso.blogspot.com.es</t>
  </si>
  <si>
    <t>Rafael Balaguer</t>
  </si>
  <si>
    <t>Alcoy, Comunidad Valenciana</t>
  </si>
  <si>
    <t>Miembro de la junta directiva @Cs_Alcoy - Soy liberal, progresista, demócrata y constitucionalista</t>
  </si>
  <si>
    <t>Miguel Angel Herrero</t>
  </si>
  <si>
    <t>¿Qué es populismo?, dices mientras clavas en mi pupila tu pupila naranja. ¿Qué es populismo?¿Y tú me lo preguntas? Populismo... eres tú.</t>
  </si>
  <si>
    <t>Palma, España</t>
  </si>
  <si>
    <t>IT. Aficionado al cine y la tecnología. Adicto a los viajes y la fotografía. Madridista. Le doy al R6S en mis tiempos libres.</t>
  </si>
  <si>
    <t>http://instagram.com/mangelherrero/</t>
  </si>
  <si>
    <t>Albert Rivera lleva años hablando de “separatistas, bolivarianos y proetarras” pero le piden que defina a Vox y no lo hace porque “no es analista político”. Es que te tienes que reír.</t>
  </si>
  <si>
    <t>Hugo Maldonado</t>
  </si>
  <si>
    <t>ÜT: 39.472493,-0.379014</t>
  </si>
  <si>
    <t>I ❤️Cs. Alianzas hacen la paz, I ❤️ UE, España-Latinoamérica y la Antártida. Liderazgo, Estrategia, Ética, Mérito, Unidad y diversidad. Dº en España &amp; in the US</t>
  </si>
  <si>
    <t>Roger</t>
  </si>
  <si>
    <t>Albert Rivera: Los independentistas son colpistas, terroristas, nazis, ... - Como cataloga Vox? Rivera: No soy analista político. #blanqueaatunazi</t>
  </si>
  <si>
    <t>Llicenciat en Biologia, treballo de gestor ambiental. Amant de l'esport i la natura; passió pel FCB - P.B. Nostra Ensenya. A way of life.</t>
  </si>
  <si>
    <t>7arias7</t>
  </si>
  <si>
    <t>No os lo váis a creer, pero los mismos que critican a Albert Rivera por no calificar a VOX, son los que votan a Podemos porque viven en el país de las piruletas en la calle de la chocolatina.</t>
  </si>
  <si>
    <t>Jaca, Huesca.</t>
  </si>
  <si>
    <t>Políticamente incorrecto. Jacetano, aragonés y español. Historia por hacer. España, siempre una. RMCF. Si no te gusta mi opinión, no tengo otra. Amapolas.</t>
  </si>
  <si>
    <t>- ¿Cómo definirías a VOX? - Yo no soy analista político, yo sólo veo españoles Vía @Tremending</t>
  </si>
  <si>
    <t>Manec</t>
  </si>
  <si>
    <t>Tiene el sindrome Albert Rivera RT @albeeert_5: Pocas cosas malas nos pasan.</t>
  </si>
  <si>
    <t>https://twitter.com/albeeert_5/status/1065187420315021313</t>
  </si>
  <si>
    <t>https://pbs.twimg.com/media/DshOTWHWkAEiZNh.jpg</t>
  </si>
  <si>
    <t>jojo</t>
  </si>
  <si>
    <t>23 | Computer Engineering | JRPG ❤️| Shitposting, memes, Espanyol, Beer y de vez en cuando Pokémon | For the sake of the world, play Nier Automata.</t>
  </si>
  <si>
    <t>M. P. Perálvarez</t>
  </si>
  <si>
    <t>¿Por qué Albert Rivera no se atreve a decir que Vox es extrema derecha? ¿Quizá para no autodefinirse Él mismo ante su potencial electorado? ¿Para evitar que sepamos dónde se sitúa? @osebuil1 @LucasMartR @juandearjona @AdelanteAND @ARTorrijos @MailloAntonio @ierrejon @pnique</t>
  </si>
  <si>
    <t>El Gran Paraiso Interior</t>
  </si>
  <si>
    <t>Un ser curioso por naturaleza que clama de vez en cuando UNA CANCIÓN DESESPERADA</t>
  </si>
  <si>
    <t>Robert Prieto</t>
  </si>
  <si>
    <t>Igual estoy equivocado... Pero hace tiempo que me lo pregunto: ¿Cuánto más necesitan Pablo Casado o Albert Rivera para sacar al Okupa de la Moncloa vía MOCIÓN DE CENSURA? Ya tienen motivos de sobra en qué ampararse...</t>
  </si>
  <si>
    <t>“Una nación no se pierde porque unos la ataquen, sino porque quienes la aman no la defienden”. Blas de Lezo y Olavarrieta, Almirante español (1689-1741).</t>
  </si>
  <si>
    <t>https://gab.ai/MskRobert</t>
  </si>
  <si>
    <t>AsilVestraOಠ</t>
  </si>
  <si>
    <t>La coherencia de Albert Rivera y Ciudadanos resumidos en dos tuits #FelizMiércoles</t>
  </si>
  <si>
    <t>https://pbs.twimg.com/media/DshniCQW0AACrAH.jpg</t>
  </si>
  <si>
    <t>más allá de Orión</t>
  </si>
  <si>
    <t>He visto cosas que vosotros no creeríais..., tramas corruptas más allá de Eres y Gürtel. He visto sobres en B brillar en la oscuridad...Es hora de cambiar</t>
  </si>
  <si>
    <t>https://www.youtube.com/channel/UC3Bwzkx1_CQZ4EtBKDUOwNw</t>
  </si>
  <si>
    <t>dgonzalezvil</t>
  </si>
  <si>
    <t>Paco Frutos, Dolors Montserrat, Gabriel Rufián, Juan Carlos Girauta, Albert Rivera. Cataluña sigue haciendo grandes aportaciones a la política española.</t>
  </si>
  <si>
    <t>Tu país es una mierda</t>
  </si>
  <si>
    <t>Eco Republicano</t>
  </si>
  <si>
    <t>https://pbs.twimg.com/media/DshkjCwWwAEIgjV.jpg</t>
  </si>
  <si>
    <t>Cs Macarena</t>
  </si>
  <si>
    <t>A por la Tercera República</t>
  </si>
  <si>
    <t>https://telegram.me/ecorepublicano</t>
  </si>
  <si>
    <t>Macarena, Sevilla</t>
  </si>
  <si>
    <t>Perfil Oficial de C´s del Distrito Macarena,Sevilla</t>
  </si>
  <si>
    <t>https://m.facebook.com/ciudadanosmacarena/</t>
  </si>
  <si>
    <t>La Voz de Almería</t>
  </si>
  <si>
    <t>Ana Merchán, candidata por Almería de Adelante Andalucía, es una mujer "comprometida con la lucha feminista" y "optimista" sobre el futuro. Una entrevista de @LuisFBonilla.</t>
  </si>
  <si>
    <t>http://mtr.cool/lmldqfu</t>
  </si>
  <si>
    <t>Twitter Oficial del periódico La Voz de Almería (desde 1939). Líderes en la provincia de Almería</t>
  </si>
  <si>
    <t>http://www.lavozdealmeria.com</t>
  </si>
  <si>
    <t>Señor Gremlin</t>
  </si>
  <si>
    <t>Jugada maestra de los lazis contra "Ñ". Eñe es su Némesis innombrable (si escribes "España" en Twitter siendo lazi y después te miras al espejo el reflejo de tu rostro es la cara de Albert Rivera).</t>
  </si>
  <si>
    <t>https://pbs.twimg.com/media/DshiXH8XgAEqKtA.jpg</t>
  </si>
  <si>
    <t>España, Europa, Humanidad.</t>
  </si>
  <si>
    <t>Entre socialdemocracia y socioliberalismo. TOC de Pragmatismo. Anti-totalitarismos. Sólo hay dos tipos de comunistas/fascistas : necios ignorantes y sociópatas.</t>
  </si>
  <si>
    <t>Óliver</t>
  </si>
  <si>
    <t>Ahí tenéis al más puro Albert Rivera. RT @La_SER: Albert Rivera evita calificar a Vox como un partido de ultraderecha La entrevista completa del líder de @CiudadanosCs en @HoyPorHoy con @PepaBueno →</t>
  </si>
  <si>
    <t>ANDALUCÍA</t>
  </si>
  <si>
    <t>No te fíes de quien no pida como primera tapa una ensaladilla rusa. A mi madre le enfada que me llamen Oli. @BMMPacoTenorio. #Comunicación #RRPP #Publicidad #CM</t>
  </si>
  <si>
    <t>Javier Padilla</t>
  </si>
  <si>
    <t>Hoy Albert Rivera no ha querido tildar de ultraderecha a Vox porque él no es analista político. Hace 3 días al parecer sí llevaba el disfraz de analista político para calificar de populistas a otros partidos. Claro y cristalino.</t>
  </si>
  <si>
    <t>https://pbs.twimg.com/media/Dshg2nQW0AAocrI.jpg</t>
  </si>
  <si>
    <t>Construyendo en @csilesia. Médico. Salubrismo o barbarie. javithink(arroba)gmail(punto)com</t>
  </si>
  <si>
    <t>http://colectivosilesia.net</t>
  </si>
  <si>
    <t>Aquí la secuencia completa, alguien ve el escupitajo a Borrell o es como las piedras de Albert Rivera en Altsasu?</t>
  </si>
  <si>
    <t>pic.twitter.com/7eSgMnSbJR</t>
  </si>
  <si>
    <t>Anais</t>
  </si>
  <si>
    <t>Esta mañana Albert Rivera también se ha negado a llamar a las cosas por su nombre, y así nos va... Hablo de esto de maquillar el fascismo aquí ⬇️ RT @CierzoDigital: "Sin duda, que a los medios de comunicación les cueste mucho usar determinadas palabras como extrema derecha, fascistas, nazis… dificulta su reconocimiento y, en último término, la conciencia de la necesidad de ponerles freno" De @Anaiscf</t>
  </si>
  <si>
    <t>https://twitter.com/CierzoDigital/status/1065176696242999297
http://cierzodigital.com/un-manto-de-odio/</t>
  </si>
  <si>
    <t>Ya no me hago planes.</t>
  </si>
  <si>
    <t>pic.twitter.com/Q9RwlxLoBx</t>
  </si>
  <si>
    <t>Stormwind</t>
  </si>
  <si>
    <t>que rufian tenia que ser expulsado del pleno por insultar a borrel? SI que borrel tenia que ser expulsado del pleno por insultar a rufian? TAMBIEN que albert rivera tendria que haber sido expulsado por llamar golpistas a los diputados catalanes? OSTIAS Q SI</t>
  </si>
  <si>
    <t>De mayor quiero ser un frigorífico para estar fresquito todo el tiempo | ig: Javikoh</t>
  </si>
  <si>
    <t>Diego S. Adelantado</t>
  </si>
  <si>
    <t>Rotundamente en contra de eliminar las palabras "fascistas" y "golpistas" del diario de sesiones de hoy. La historia debe conocer la escasa capacidad intelectual de políticos como Gabriel Rufián o Albert Rivera en el Congreso de los Diputados de 2018.</t>
  </si>
  <si>
    <t>Periodista🗞📻 En @Emprendedores. Mis opiniones son solo mías. Me interesa todo, menos la coliflor.</t>
  </si>
  <si>
    <t>https://www.linkedin.com/in/diegosadelantado/</t>
  </si>
  <si>
    <t>Aina🌙</t>
  </si>
  <si>
    <t>me cago en Albert Rivera</t>
  </si>
  <si>
    <t>Menorca-Girona📍</t>
  </si>
  <si>
    <t>no m’agrada sa llagosta. || 🎗</t>
  </si>
  <si>
    <t>Luisa</t>
  </si>
  <si>
    <t>Tardà, a Rivera: “Cada vez que nos llame golpistas, le llamaremos fascista” @lavanguardia</t>
  </si>
  <si>
    <t>http://shr.gs/w6dyxil</t>
  </si>
  <si>
    <t>Dabitxo #FreeAltsasukoak🎗</t>
  </si>
  <si>
    <t>Albert Rivera "Yo es que no soy un analista político". Ni un político, Albert, tú eres un simple sicario</t>
  </si>
  <si>
    <t>Euskal Herriko hiriburuan</t>
  </si>
  <si>
    <t>Anti-identitario, antiposmo, libertario, abertzale, hombre, hetero, gaznápiro de puño cerrado y rodilla en tierra. Letxugino y agrocarlista. @florezika's</t>
  </si>
  <si>
    <t>http://apistonazos.wordpress.com/</t>
  </si>
  <si>
    <t>José Luis C</t>
  </si>
  <si>
    <t>Este imbécil no se pronuncia con respecto a "VOX"lo deja para los periodistas, pero si se pronuncia con respecto a "PODEMOS" cuánta cara y demagogia Sr. Rivera. via @El_Plural</t>
  </si>
  <si>
    <t>amante de la libertad y la democracia, crítico con las injusticias sociales y las desigualdades,de izquierdas y republicano.Apasionado d l velocidad y las motos</t>
  </si>
  <si>
    <t>El apuro de Rivera cuando le preguntan si Vox es extrema derecha  Vía @El_Plural</t>
  </si>
  <si>
    <t>camasdigital</t>
  </si>
  <si>
    <t>Hasta en tres ocasiones el presidente de Ciudadanos, Albert Rivera, ha evitado hoy calificar a Vox como un partido de ultraderecha en el programa Hoy por hoy de la Cadena Ser. La pregunta era simple: en qué...</t>
  </si>
  <si>
    <t>https://www.facebook.com/www.camasdigital.es/posts/1917478754967806</t>
  </si>
  <si>
    <t>Camas Sevilla</t>
  </si>
  <si>
    <t>noticias diarias de la ciudad de Camas ( Sevilla)</t>
  </si>
  <si>
    <t>http://www.camasdigital.es</t>
  </si>
  <si>
    <t>Albert Rivera escribe esto sobre 'La casa de papel' y Atresmedia le contesta</t>
  </si>
  <si>
    <t>Noticias Cuatro</t>
  </si>
  <si>
    <t>Mediaset España</t>
  </si>
  <si>
    <t>La redacción de noticias de @cuatro te cuenta la última hora y todas las novedades del día | http://www.facebook.com/noticiascuatro</t>
  </si>
  <si>
    <t>http://www.cuatro.com/noticias</t>
  </si>
  <si>
    <t>Como Ana Pastor retire la palabra golpista no sé de qué van a hablar Pablo Casado y Albert Rivera en el Pleno del Congreso...</t>
  </si>
  <si>
    <t>Llu RuAp</t>
  </si>
  <si>
    <t>Albert Rivera quedando retratado una vez más...Oh, qué sorpresa! 🙄🤣 RT @La_SER: Albert Rivera evita calificar a Vox como un partido de ultraderecha La entrevista completa del líder de @CiudadanosCs en @HoyPorHoy con @PepaBueno →</t>
  </si>
  <si>
    <t>De Valencia pero residente en Madrid. Ingeniero de profesión y tenista por afición. Seriéfilo empedernido.</t>
  </si>
  <si>
    <t>fina vidal</t>
  </si>
  <si>
    <t>https://www.huffingtonpost.es/2018/11/20/la-respuesta-de-atresmedia-a-albert-rivera-por-lo-que-ha-dicho-sobre-la-casa-de-papel_a_23594976/?ncid=other_twitter_cooo9wqtham&amp;utm_campaign=share_twitter</t>
  </si>
  <si>
    <t>Casi viviente</t>
  </si>
  <si>
    <t>Osito Fumon</t>
  </si>
  <si>
    <t>Albert Rivera cocalero de primera</t>
  </si>
  <si>
    <t>Fumones™ ✈️4:2®</t>
  </si>
  <si>
    <t>CATADOR DE THC A TIEMPO COMPLETO A VECES ESCRIBO COSAS :P♿o️♓️🔞🏁 ONELOVE.🕉☮️Cynthia4ever💞 🔗</t>
  </si>
  <si>
    <t>#Ciudadanos #YouTube Nuevo vídeo de CiudadanosCs // Albert Rivera. Entrevista en "Hoy por hoy" de la Cadena SER</t>
  </si>
  <si>
    <t>https://www.youtube.com/watch?v=RQtT__tQB_4</t>
  </si>
  <si>
    <t>Albert Rivera, posiblemente el político más rastrero de este país (y la competencia es dura): 1- el indulto se otorga cuando ya hay condena firme (o es que ya saben que serán condenados) 2- no ha habido petición de indulto Miente y manipula lo que sepas. Discursos de mierda. RT @Albert_Rivera: 🏛 Una nación decente no promete ni regala impunidad a quienes intentan liquidar la democracia. Señores del PSOE y de Podemos, ¿ustedes hubieran indultado a Tejero? Nosotros nunca. ¿Por qué quieren indultar a los golpistas separatistas? #STOPIndultos</t>
  </si>
  <si>
    <t>El fascismo en España tiene un nombre, Albert Rivera RT @VMatterfilm: A esto le llaman hacer política. Hitler y Himmler estarían orgullosos de Ciutadans. No se puede caer mas bajos...Realmente se merecen lo peor .</t>
  </si>
  <si>
    <t>https://twitter.com/VMatterfilm/status/1065149236910661632
https://www.rac1.cat/info-rac1/20181120/453073235347/autocar-campanya-ciutadans-oriol-junqueras-carles-puigdemont.html</t>
  </si>
  <si>
    <t>Francis_Kepe</t>
  </si>
  <si>
    <t>Que dice Albert Rivera que los de izquierdas son unos ultracomunistas etabolivarianos de Cubazuela del Norte pero que no califica a VOX como extremaderecha porque no es analista político.</t>
  </si>
  <si>
    <t>Socialismo o barbarie. Tengo Twitter para hablar de política y fútbol. De @anticapi ✊🌈</t>
  </si>
  <si>
    <t>Joan Tardà a Albert Rivera: "Cada vez que usted nos llame golpistas, nosotros le llamaremos fascista"  #FelizMiércoles</t>
  </si>
  <si>
    <t>https://www.ecorepublicano.es/2018/11/tarda-rivera-cada-vez-que-usted-nos.html</t>
  </si>
  <si>
    <t>https://pbs.twimg.com/media/DshVv-WWkAEQWhV.jpg</t>
  </si>
  <si>
    <t>Zeno-sama #Tram0 St Esteve de les Roures</t>
  </si>
  <si>
    <t>Josep Borrell es un viejo senil que escucha lo que quiere, ya que Gabriel Rufián no le ha llamado racista al ministro de exteriores y por eso se ha montado lo que se ha montado. Vamos yo veo muchas veces Albert Rivera y Pablo Casado insultando a Pablo Iglesias cada vez que habla</t>
  </si>
  <si>
    <t>Catalunya, País Valencià.</t>
  </si>
  <si>
    <t>Cupaire, Independentista y de Izquierdas. Según PPSOEC's: Nazibolivariano. Alérgico a la Corrupción y al cinismo. En mí tiempo libre soy Zeno-sama.</t>
  </si>
  <si>
    <t>Hoy La Ser dándole más publicidad al partido extraparlamentario de extrema derecha a costa de airear las vergüenzas de Albert Rivera. BIEN.</t>
  </si>
  <si>
    <t>Engendrado en el fuerte de Playmobil. Mi primer beso fue contra el espejo. Fui en chándal a la Universidad. No conozco el pleno empleo. Proyecto de tantas cosas</t>
  </si>
  <si>
    <t>http://jukeboxpretencioso.wordpress.com</t>
  </si>
  <si>
    <t>Lord Rocanroller 🇪🇸🎸😈</t>
  </si>
  <si>
    <t>Lo que se ha vivido hoy en el congreso es inaceptable. ¿Acaso esperaba @sanchezcastejon "gobernar" con estos socios? Mientras tanto, en mermalandia, Echenique llamando franquista a Albert Rivera. Que se pare el país, que yo me bajo.</t>
  </si>
  <si>
    <t>🇪🇸Español, blanco, heterosexual, de derechas y del Real Madrid. Y me gusta el rock. No es lo que abunda últimamente, ya me perdonarán. Y si no... me da igual.</t>
  </si>
  <si>
    <t>🏴󠁧󠁢󠁥󠁮󠁧󠁿</t>
  </si>
  <si>
    <t>Por ahí van los tiros. -Albert Rivera, 2018</t>
  </si>
  <si>
    <t>Patriota Català, donec perficiam 🏴󠁧󠁢󠁥󠁮󠁧󠁿. Em van censurar el meu antic compte. Futur professor. Països Catalans, independència o mort.</t>
  </si>
  <si>
    <t>J</t>
  </si>
  <si>
    <t>Albert Rivera lleva más regates que Dembelé esta temporada RT @Bernat_Castro: Albert Rivera regateando decir que VOX es extrema derecha:</t>
  </si>
  <si>
    <t>https://twitter.com/Bernat_Castro/status/1065192571029413888</t>
  </si>
  <si>
    <t>En el bar</t>
  </si>
  <si>
    <t>nou barris</t>
  </si>
  <si>
    <t>Albert Rivera regateando decir que VOX es extrema derecha:</t>
  </si>
  <si>
    <t>MiJacK</t>
  </si>
  <si>
    <t>Y lo tranquilo que vivo desde que no veo los retweets a este ni a Albert Rivera. Eso no se paga con dinero</t>
  </si>
  <si>
    <t>https://pbs.twimg.com/media/DshRKauXcAAae9s.jpg</t>
  </si>
  <si>
    <t>Very stable genius #Devops #London #AWS #Donostia #AudioSnob #EnfermoMentalCrónico</t>
  </si>
  <si>
    <t>https://www.youtube.com/c/MiguelArranz</t>
  </si>
  <si>
    <t>Carles Riquelme F.</t>
  </si>
  <si>
    <t>Tardà, a Rivera: “Cada vez que nos llame golpistas, le llamaremos fascista”</t>
  </si>
  <si>
    <t>http://shr.gs/2BZ91UW</t>
  </si>
  <si>
    <t xml:space="preserve"> +65, afectat d'Esclerosi Múltiple, republicà, independentista i usuari cadira rodes Compromès amb la lluita per la igualtat de persones amb diversitat funcional</t>
  </si>
  <si>
    <t>https://www.facebook.com/carles.riquelmefelip</t>
  </si>
  <si>
    <t>AJLeftist</t>
  </si>
  <si>
    <t>ERC es una organización histórica para republicanismo en todo el Estado. Ha defendido la libertad y la democracia siempre que la derecha la ha puesto en peligro. Llamarles golpistas es un insulto inaceptable. Sin embargo, Albert Rivera y Cs sí amparan y han dado alas al fascismo.</t>
  </si>
  <si>
    <t>La utopía sirve para caminar.</t>
  </si>
  <si>
    <t>Kfre</t>
  </si>
  <si>
    <t>Albert Rivera pactará con VOX RT @La_SER: Albert Rivera evita calificar a Vox como un partido de ultraderecha La entrevista completa del líder de @CiudadanosCs en @HoyPorHoy con @PepaBueno →</t>
  </si>
  <si>
    <t>Hay más cosas que nos unen de las que nos separan.</t>
  </si>
  <si>
    <t>Cristina ©️</t>
  </si>
  <si>
    <t>Albert Rivera no sabe en qué espectro ideológico se encuentra VOX. ¡A ver si va a ser que están en el mismo!</t>
  </si>
  <si>
    <t>Costa da Morte</t>
  </si>
  <si>
    <t>Nací en #Euskadi y vivo en #Galicia. "Un gran poder conlleva una gran responsabilidad" Roosevelt. Comunicación y análisis político. Ethos, Logos, Pathos.</t>
  </si>
  <si>
    <t>nosolotoni</t>
  </si>
  <si>
    <t>El auge de la #ultraderecha es preocupante y mucho, aunque Albert Rivera no lo quiera ver</t>
  </si>
  <si>
    <t>https://nosolotoni.wordpress.com/2018/11/21/el-auge-de-la-ultraderecha/</t>
  </si>
  <si>
    <t>Anidado en Fuenlabrada. Me gustan el café, los ordenadores, las guitarras y hacer una #nosolofoto de vez en cuando☕💻🎸📸 IG: @nosolotoni</t>
  </si>
  <si>
    <t>۞ Estrella Tartéssica ۞</t>
  </si>
  <si>
    <t>- Albert Rivera: "Golpistas", "Capullo", "Gilipollas" ✔ - Pablo Casado: "Golpista" ✔ - Maroto: "Sucia ministra" ✔ - Girauta: "Sinvergüenza" ✔ - Rufián: "Indigno", "Fascista" ✖ - Irene Montero: "Machirulo" ✖ - Podemos: Carteles contra los CIE ✖</t>
  </si>
  <si>
    <t xml:space="preserve">República de Andalucía. </t>
  </si>
  <si>
    <t>"Si existe un Dios, él tendrá que rogarme a mí para que yo le perdone". (Inscripción realizada por un preso en un muro de Auschwitz).</t>
  </si>
  <si>
    <t>EsPPeonza [PARODIA]</t>
  </si>
  <si>
    <t>¿Albert Rivera?¡Qué raro! 🤣 Evita calificar a Vox como un partido de ultraderecha</t>
  </si>
  <si>
    <t>https://pbs.twimg.com/media/DshM8bBX4AAUfKo.jpg</t>
  </si>
  <si>
    <t>Rana, Norge</t>
  </si>
  <si>
    <t>🐸🐸 ( Parodia ) Señoras decentes de derechas. Siempre hubo clases ¡JAJAJA!</t>
  </si>
  <si>
    <t>http://esppeonza.gmail.com</t>
  </si>
  <si>
    <t>VictoriaUve</t>
  </si>
  <si>
    <t>Albert Rivera y Ciudadanos necesitan de VOX. Por eso JAMÁS dirán que Vox es de extrema derecha, ni dirán nada contra el fascismo que campa por España. Y el PP otro tanto.</t>
  </si>
  <si>
    <t>Carlos Pareja González</t>
  </si>
  <si>
    <t>Susana Díaz, Pablo Casado y Albert Rivera, usan la campaña andaluza para desempolvar los fantasmas, que si Franco, que si Cataluña, que si los rojos, estoy harto, ¿y quien habla de los problemas de los andaluces?, y no son pocos, os lo digo yo que vivo en Málaga, iros a la ......</t>
  </si>
  <si>
    <t>Soy un tipo de 61 años con una vida rica y variada en lo profesional y en lo personal, superé ayer un cáncer y hoy escribo artículos y novelas y procuro VIVIR.</t>
  </si>
  <si>
    <t>Guillem Carles</t>
  </si>
  <si>
    <t>Sr. Albert Rivera y compania ...repasa bien la historia : hubo dos Golpistas el General Franco 18 de Julio 1936 , contra la Republica ; El Coronel Tejero 23 de Febrero 1982 , contra la Monarquia ..??? Los presos politicos no fueron y son " Golpistas"</t>
  </si>
  <si>
    <t>España .Barcelona 9oo77</t>
  </si>
  <si>
    <t>Founded in 1976. Prewss News Agency Information and Broadcasting. Open Forum for Deaf Community and Magazine. Guillem Carles, Journalist. Barcelona. GuillénSpai</t>
  </si>
  <si>
    <t>http://guillemcarles.blogspot.com</t>
  </si>
  <si>
    <t>Jota POV</t>
  </si>
  <si>
    <t>Albert Rivera evita calificar a Vox como ultraderecha: “No soy un analista político”.</t>
  </si>
  <si>
    <t>https://pbs.twimg.com/media/DshJWBVVsAENGZW.jpg</t>
  </si>
  <si>
    <t>Youtuber, pantuflólogo con certificado oficial. Editor de chorradas sensatas en forma de simulación y vecino del que elige al alcalde en http://www.jotapov.com</t>
  </si>
  <si>
    <t>https://www.youtube.com/channel/UC2OPRvShCwMeO__KHVyPl9w?sub_confirmation=1</t>
  </si>
  <si>
    <t>Vöskov 🤘🚴‍♂️</t>
  </si>
  <si>
    <t>Ana Pastor expulsa a Gabriel Rufián por llamar indigno a Borrell y por estar de pie durante la intervención del mismo. Ayer Albert Rivera llamó golpista a Joan Tardà, y hoy todos estos diputados estaban de pie al mismo tiempo que Rufián. Me cago en vuestro intento de democracia.</t>
  </si>
  <si>
    <t>https://pbs.twimg.com/media/DshI0dmX4AAK_CC.jpg</t>
  </si>
  <si>
    <t>Aldeano (País Valencià)</t>
  </si>
  <si>
    <t>Dels Vöskov de les aldees centrals del País Valencià, parit al 83, culé, del secà i la Mediterrània (tot és possible al meu país). Fart d´ofrenar noves glòries.</t>
  </si>
  <si>
    <t>https://bit.ly/2KKq1DR</t>
  </si>
  <si>
    <t>Podemita cuando se despierta planificando el día en Twitter. Incluir algún bulo, manipulación o insulto contra Albert Rivera y C's es obligatorio.</t>
  </si>
  <si>
    <t>https://pbs.twimg.com/media/DshIturWoAA3e7d.jpg</t>
  </si>
  <si>
    <t>Carlos Nieto</t>
  </si>
  <si>
    <t>Geneva</t>
  </si>
  <si>
    <t>Aitana</t>
  </si>
  <si>
    <t>Donde está Albert Rivera? No asiste a la #SesiónDeControl. Será q no es importante y no sacará rédito?. Hacer preguntas sb proyectos con límite de tiempo es aburrido. Mejor un micro sin preguntas y raca-raca. #FelizMiércoles a todos 😘</t>
  </si>
  <si>
    <t>A Albert Rivera se le llena la boca cuando habla de partidos de extrema izquierda, populistas, golpistas, etc... pero cuando toca catalogar a Vox como un partido de extremaderecha dice que: "No soy analista político". #FelizMiércoles #SesiónDeControl</t>
  </si>
  <si>
    <t>Albert Rivera no miente, no es analista político. Es una rata más facha que el palo de la bandera que es diferente</t>
  </si>
  <si>
    <t>https://pbs.twimg.com/media/DshG3ZyWsAEqE6L.jpg</t>
  </si>
  <si>
    <t>Ortiz</t>
  </si>
  <si>
    <t>Catalán medio, ya fuera de coña. Tienes que decidir quién te representa mejor. Si Rufián y los escupitajos o Albert Rivera. Tú decides.</t>
  </si>
  <si>
    <t>Liberal clásico.</t>
  </si>
  <si>
    <t>Ciudad Real, España</t>
  </si>
  <si>
    <t>📵</t>
  </si>
  <si>
    <t>Borrell es un blando. Puestos a inventarse cosas, que diga que le han tirado piedras como hace Albert Rivera.</t>
  </si>
  <si>
    <t>Gilead</t>
  </si>
  <si>
    <t>Qué desastre. Qué mal todo.</t>
  </si>
  <si>
    <t>duduipa 🌹🎗</t>
  </si>
  <si>
    <t>Tardà, a Rivera: “Cada vez que nos llame golpistas, le llamaremos fascista” 👏👏👏👏⁦@JoanTarda⁩</t>
  </si>
  <si>
    <t>Arenas de Mar</t>
  </si>
  <si>
    <t>libre,no me caso con nadie;mis tweets son ficción sobre manipulaciones de otros.Visca #FCBarcelona ❤️💙,💛💙U da Tijuca i tots els 🐱🐶🐂🐇 RT no es adhesión</t>
  </si>
  <si>
    <t>María Quílez</t>
  </si>
  <si>
    <t>La aportación de ERC en el Congreso: ayer llaman fascista a Albert Rivera. Hoy, hooligan, indigno y racista a Borrell. Vergonzoso.</t>
  </si>
  <si>
    <t>Graduada en Periodismo. Máster en Comunicación Política y Marketing Político en UAH. Dos pasiones: Comunicación y Política. En el centro está la virtud.</t>
  </si>
  <si>
    <t>http://instagram.com/maria_quilezv/</t>
  </si>
  <si>
    <t>SERGI PARRAMON</t>
  </si>
  <si>
    <t>Sr Albert Rivera t’ha quedat clar?</t>
  </si>
  <si>
    <t>pic.twitter.com/eOrqv2xoHa</t>
  </si>
  <si>
    <t>Organyà</t>
  </si>
  <si>
    <t>D'esquerres, republicà i independentista. Regidor a l'Ajuntament d'Organyà, president ERC Alt Urgell i Conseller Nacional</t>
  </si>
  <si>
    <t>El Gato al Agua</t>
  </si>
  <si>
    <t>Horcajo llama a Albert Rivera 'EL PRÍNCIPE ENTALLADO'</t>
  </si>
  <si>
    <t>https://www.youtube.com/watch?v=dHyJnABSRY4</t>
  </si>
  <si>
    <t>Cuenta oficial de El Gato al Agua de @Intereconomia. Envía tus mensajes en directo por WhatsApp al número: 670 034 543</t>
  </si>
  <si>
    <t>http://www.intereconomia.tv</t>
  </si>
  <si>
    <t>Alicante, España</t>
  </si>
  <si>
    <t>Eu Son</t>
  </si>
  <si>
    <t>Albert Rivera diciéndole a Pepa Bueno que él llama podemitas a los de P's pero que no es analista político como ella para situar en el arco ideológico a VOX. ¿De verdad no se atreve a llamarlos nostálgicos?</t>
  </si>
  <si>
    <t>Máis ghuapiño que ghuapirmo. Hai que roelo.</t>
  </si>
  <si>
    <t>Victorius Walls</t>
  </si>
  <si>
    <t>"Yo a Podemos les llamo Podemitas" Albert Rivera, cuñadito RT @La_SER: Albert Rivera evita calificar a Vox como un partido de ultraderecha La entrevista completa del líder de @CiudadanosCs en @HoyPorHoy con @PepaBueno →</t>
  </si>
  <si>
    <t>Panderet Land</t>
  </si>
  <si>
    <t>Los equidistantes hacen cosas</t>
  </si>
  <si>
    <t>Rivera prefiere no contestar...</t>
  </si>
  <si>
    <t>Sergio Cortina</t>
  </si>
  <si>
    <t>Cuando Albert Rivera habla de regeneración siempre pienso en Vomitón.</t>
  </si>
  <si>
    <t>https://pbs.twimg.com/media/DshCpEnWwAAot1L.jpg</t>
  </si>
  <si>
    <t>Suburbia</t>
  </si>
  <si>
    <t>Chatarrero. Escribí 'Saliendo de la calle Oscura' en @librosdelko Globomedia, Yahoo!, the iconic @roculturefans</t>
  </si>
  <si>
    <t>https://www.librosdelko.com/products/saliendo-de-la-calle-oscura</t>
  </si>
  <si>
    <t>Antonio Luna</t>
  </si>
  <si>
    <t>I liked a @YouTube video  ‼️CON UN PAR‼️ Albert RIVERA 💥RE-MA-TA💥 a Pedro SÁNCHEZ por los</t>
  </si>
  <si>
    <t>http://youtu.be/Vvvq1GenBy4?a</t>
  </si>
  <si>
    <t>Es normal que Albert Rivera no quiera hablar mal de VOX ya que son sus compañeros de aventura en las anteriores elecciones europeas y en lo que se presente porque C's es extrema derecha. #CsEsVox</t>
  </si>
  <si>
    <t>https://www.eldiario.es/politica/Rivera-catalogar-Vox-extremadrecha-analista_0_838166254.html</t>
  </si>
  <si>
    <t>Pau ║⭐║Independència 🎗</t>
  </si>
  <si>
    <t>El 20-N de Susanna Griso: entrevista a Rivera i connexió al Valle de los Caídos</t>
  </si>
  <si>
    <t>https://www.elnacional.cat/ca/televisio/susanna-griso-albert-rivera-luis-alfonso-borbon_326550_102.html</t>
  </si>
  <si>
    <t>Teià (Catalunya)</t>
  </si>
  <si>
    <t>Enginyer Superior de Telecos. Enamorat de la vida. Carpe diem! In-Inde-Independència!!! Catalunya lliure! ||★|| #Sí #DUI</t>
  </si>
  <si>
    <t>Playtele España</t>
  </si>
  <si>
    <t>Horcajo llama a Albert Rivera ‘EL PRÍNCIPE ENTALLADO’</t>
  </si>
  <si>
    <t>http://www.youtube.com/watch?v=dHyJnABSRY4
http://playtele.teleame.com/horcajo-llama-a-albert-rivera-el-principe-entallado/</t>
  </si>
  <si>
    <t>En Playtele te ofrecemos los mejores Vídeos de la tele en España. El mejor directorio online. Un sitio @Teleame</t>
  </si>
  <si>
    <t>http://Playtele.teleame.com</t>
  </si>
  <si>
    <t>Toni Cuquerella</t>
  </si>
  <si>
    <t>Albert Rivera: -Independentistas: "golpistas" -Podemos: "populistas" -Vox: "...no soy analista político..."</t>
  </si>
  <si>
    <t>https://www.eldiario.es/_31f566ee</t>
  </si>
  <si>
    <t>"Qui no es mou, no nota les cadenes" (Rosa Luxemburg) Periodista freelance http://eldiario.es/cv http://comarcalCV.com (PV)</t>
  </si>
  <si>
    <t>Lord Doonsany</t>
  </si>
  <si>
    <t>Ah, bueno, lo que faltaba. Ana Pastor va a prohibir el uso de la palabra "fascismo" en el Congreso. A partir de ahora se usará el eufemismo "nostalgia". Por ejemplo: "Albert Rivera envenena la política con su neonostalgia" o "El PP hunde sus raíces en la nostalgia".</t>
  </si>
  <si>
    <t>Francoland</t>
  </si>
  <si>
    <t>"So he sat and listened to pigeons talking". About me? Not a very sophisticated chap.</t>
  </si>
  <si>
    <t>http://www.doonsanyinfrancoland.com</t>
  </si>
  <si>
    <t>Bufff!</t>
  </si>
  <si>
    <t>Albert Rivera no ve fascistas, solo ve españoles. #FelizMiércoles RT @La_SER: Albert Rivera evita calificar a Vox como un partido de ultraderecha La entrevista completa del líder de @CiudadanosCs en @HoyPorHoy con @PepaBueno →</t>
  </si>
  <si>
    <t>Y yo qué sé!.</t>
  </si>
  <si>
    <t>Albert Rivera sabe catalogar a todos los partidos de España, menos a los que son de la misma ideología que Ciudadanos.</t>
  </si>
  <si>
    <t>https://pbs.twimg.com/media/Dsg-GoQXcAAV0qc.jpg</t>
  </si>
  <si>
    <t>Miguel R. Fervenza</t>
  </si>
  <si>
    <t>Pablo Casado sobre se Vox é de extrema dereita: «Yo no defino al resto de partidos». Albert Rivera sobre se Vox é de extrema dereita: «No soy analista político, eso se lo dejo a ustedes». Non sei por que andades a dicir que John Jackson e Jack Johnson son clons.</t>
  </si>
  <si>
    <t>Denantes</t>
  </si>
  <si>
    <t>Literatura, cinema silente, aventuras gráficas (@Indiefence) e baloncesto (falo decote do SuperManager). O maxín tras @ViladeDenantes. A escribir.</t>
  </si>
  <si>
    <t>http://miguelrfervenza.com/</t>
  </si>
  <si>
    <t>Toni M🎗️</t>
  </si>
  <si>
    <t>Albert Rivera sentado en el mismo sitio que @davidbroncano. ¿ Podrá ayudar en el litigio cabril de la @VidaModernaOML ?</t>
  </si>
  <si>
    <t>https://pbs.twimg.com/media/Dsg9aZpX4AAJV84.jpg</t>
  </si>
  <si>
    <t>Sant Feliu de Llobregat</t>
  </si>
  <si>
    <t>Toni Morillas | Facultat de Dret, UAB Barcelona | De vegades discuteixo amb gent que creu que la Terra es plana. Voluntariat ADF 196.</t>
  </si>
  <si>
    <t>Gorka Castillo</t>
  </si>
  <si>
    <t>Respuesta de Joan Tardá a Albert Rivera.</t>
  </si>
  <si>
    <t>https://youtu.be/2j73yFuHcQQ</t>
  </si>
  <si>
    <t>Periodista autónomo. Escribo en @ctxt_es</t>
  </si>
  <si>
    <t>https://gorkarabela.wordpress.com</t>
  </si>
  <si>
    <t>Sergio Vela</t>
  </si>
  <si>
    <t>"Albert Rivera es el único que se salva"... He empezado a leer y creía que la cita era de mi cuñado en la cena de Nochebuena 😂😂 RT @GirautaOficial: “Albert Rivera, es el único que se salva, porque siempre se mantuvo al margen del infame conchabeo. En adelante, los partidos tendrán que retratarse por su grado de aprecio a la separación de poderes.” ‘El juez que dijo basta de política’</t>
  </si>
  <si>
    <t>https://twitter.com/GirautaOficial/status/1065146814318460928
https://www.elmundo.es/opinion/2018/11/20/5bf45cdce5fdeae1388b4662.html</t>
  </si>
  <si>
    <t>La España del siglo XXI</t>
  </si>
  <si>
    <t>21. Físico y matemático español. Bueno, en proceso de serlo.</t>
  </si>
  <si>
    <t>JoséCarlosVillanueva</t>
  </si>
  <si>
    <t>Marbella-Madrid-Caracas</t>
  </si>
  <si>
    <t>Periodista de investigación. Investigative journalist. Dirijo http://www.marbellaconfidencial.es. Antes en @elmundoes (1996-2013). Miembro de @P_Investigacion.</t>
  </si>
  <si>
    <t>http://www.marbellaconfidencial.es</t>
  </si>
  <si>
    <t>A mí lo que más me gusta es cuando Ana Pastor expulsa del hemiciclo a Albert Rivera por llamar "golpista" desde su escaño a @JoanTarda. ¿No?</t>
  </si>
  <si>
    <t>#LasCosasPorSuNombre Joan Tardá llama fascista a Albert Rivera en el Congreso</t>
  </si>
  <si>
    <t>https://youtu.be/944pDs-6LsM</t>
  </si>
  <si>
    <t>¡¡Ya BASTA!! ¡¡Se va a cumplir la ley!! ¡¡Albert Rivera SUBLIME!!</t>
  </si>
  <si>
    <t>https://youtu.be/RIommL7PpKM</t>
  </si>
  <si>
    <t>Llevan más de año repitiendo golpe de estado y golpistas. Pues ayer Tardá por primera vez llamó fascista a Albert Rivera y, mira por donde, hoy la presidenta del Congreso Ana Pastor ha prohibido que se digan los dos adjetivos. Da que pensar, ¿no?</t>
  </si>
  <si>
    <t>Messi=CrackTotal10</t>
  </si>
  <si>
    <t>D10S, en serio le pagan a Albert Rivera por decir tantas gilipolleces??? En serio es verlo en 📺 y darme ganas de cagar!!</t>
  </si>
  <si>
    <t>Elda, España</t>
  </si>
  <si>
    <t>Culé i Antimadridista. Sempre amb el 10, Leo Messi, El hombre RÉCORD. Gracias a estos colores y a este escudo!! CULES DE BIEN!!</t>
  </si>
  <si>
    <t>http://www.fcbarcelona.cat</t>
  </si>
  <si>
    <t>Sara de Diego Hdez</t>
  </si>
  <si>
    <t>Poco se está hablando de que Albert Rivera ha evitado esta mañana catalogar a VOX como partido de extrema derecha. Dice que él no es "analista político". Vaya, no sabía que había que serlo para darse cuenta de que son unos fascistas</t>
  </si>
  <si>
    <t>Periodista en @ElConfidencial. Trabajadora y educadora social. Me quejo mucho, sí. Este es el sitio de mi recreo</t>
  </si>
  <si>
    <t>Ana Pastor expulsa a Rufián del hemiciclo tras llamar "indigno" a Borrell. Exactamente igual que ayer cuando expulsó a Albert Rivera tras llamar "golpista" a Joan Tardá. #SesiónDeControl</t>
  </si>
  <si>
    <t>caratrucha</t>
  </si>
  <si>
    <t>albert rivera nunca decepciona RT @eldiarioes: Rivera evita catalogar a Vox como un partido de extremaderecha: "No soy analista político"</t>
  </si>
  <si>
    <t xml:space="preserve">poemitas </t>
  </si>
  <si>
    <t>lingüista, amable, mamarracha</t>
  </si>
  <si>
    <t>http://ohbartle-chuga-by.blogspot.com.es/</t>
  </si>
  <si>
    <t>Albert Rivera en @La_SER ha sido incapaz de tachar a VOX como partido de extrema derecha. Es normal, su partido con el a la cabeza están aún más a la derecha.</t>
  </si>
  <si>
    <t>Diandra R.</t>
  </si>
  <si>
    <t>🇪🇸🇪🇺</t>
  </si>
  <si>
    <t>Siguiendo la política y el deporte, ¿quién necesita más?</t>
  </si>
  <si>
    <t>http://Instagram.com/diandrar23</t>
  </si>
  <si>
    <t>Natalia Bravo García</t>
  </si>
  <si>
    <t>Hoy, en @HoyPorHoy, Albert Rivera no ha querido definir a VOX. Minutos más tarde ha tildado de ‘populistas’ a @ahorapodemos.</t>
  </si>
  <si>
    <t>Barcelona - Madrid</t>
  </si>
  <si>
    <t>Periodista. Ahora, en @fomentogob.</t>
  </si>
  <si>
    <t>Tabarnia Free</t>
  </si>
  <si>
    <t>Lo de golpistas está demostrado, lo de fascistas queda por demostrar.</t>
  </si>
  <si>
    <t>Salou, Tabarnia, España</t>
  </si>
  <si>
    <t>Ex podemita y defensor de Tabarnia #GDR</t>
  </si>
  <si>
    <t>AdriP</t>
  </si>
  <si>
    <t>Ya era hora que alguien le llamara fascista con todas las letras al pirómano de Albert Rivera. Enorme @JoanTarda RT @Cazatalentos: Joan Tardá reprime al demagogo Albert Rivera: ¡FAS-CIS-TA!</t>
  </si>
  <si>
    <t>Ho Chi Minh, Vietnam</t>
  </si>
  <si>
    <t>Comunista.</t>
  </si>
  <si>
    <t>Pablo Tortajada</t>
  </si>
  <si>
    <t>Hoy Pepa Bueno ha entrevistado a Albert Rivera: -En que parte del arco ideológico sitúa a VOX? -Yo no soy analista político, eso se lo dejo a ustedes -Pero ustedes no tienen problema en decir que Podemos es de extrema izquierda -Yo los llamo podemitas</t>
  </si>
  <si>
    <t xml:space="preserve">Pontevedra </t>
  </si>
  <si>
    <t>Bop Esponja vive nunha piña no fondo do mar e eu sobrevivo nunha biblioteca. Opositor, nos descansos falo de política, fútbol (socio do Pontevedra), series...</t>
  </si>
  <si>
    <t>https://www.instagram.com/tortajada_90/</t>
  </si>
  <si>
    <t>Nelegre</t>
  </si>
  <si>
    <t>Albert Rivera no ha puesto etiquetas a ningún partido, ni a PP, ni a PSOE, ni a VOX, ni a los "radicales populistas de izquierda".</t>
  </si>
  <si>
    <t>uno más</t>
  </si>
  <si>
    <t>Iñigo S. Ugarte</t>
  </si>
  <si>
    <t>Albert Rivera se ha soplado la sesión de control en el Congreso para dar una entrevista en la radio.</t>
  </si>
  <si>
    <t>Periodista. I just do things.</t>
  </si>
  <si>
    <t>http://www.guerraeterna.com</t>
  </si>
  <si>
    <t>Pedro Lázaro Gómara</t>
  </si>
  <si>
    <t>Es tremendo, Albert Rivera #Ciudadanos no tiene dudas sobre el golpe de estado en #Cataluña pero no se atreve, ni puede situar a #Vox dentro del espectro ideológico al que pertenece #ultraderecha #SesionDeControl #fascismo</t>
  </si>
  <si>
    <t>La tele mi profesión, tuiter un desahogo. Aquí mis opiniones personales.</t>
  </si>
  <si>
    <t>http://lascosasdellazaro.wordpress.com</t>
  </si>
  <si>
    <t>Adrián Cordellat</t>
  </si>
  <si>
    <t>La incapacidad de Albert Rivera y otros líderes de Ciudadanos para calificar a VOX de lo que es, partido de extrema derecha, da miedito y les acaba de posicionar en el arco parlamentario. Si es que no lo estaban.</t>
  </si>
  <si>
    <t>Un valenciano (más) en Madrid</t>
  </si>
  <si>
    <t>Papá en prácticas | Periodista freelance | Escribo sobre maternidad, educación, LIJ, salud, conciliación e igualdad. https://adriancordellat.com/🌐</t>
  </si>
  <si>
    <t>http://www.unpapaenpracticas.com/</t>
  </si>
  <si>
    <t>Voz De Un Ciudadano</t>
  </si>
  <si>
    <t>Albert Rivera evita calificar a #Vox como extrema derecha escudándose en que él "no es analista político" mientras sostiene calificativos ingentes y falsos para el resto de fuerzas políticas que no son de su cuerda #FelizMiercoles</t>
  </si>
  <si>
    <t>https://pbs.twimg.com/media/Dsgwx2aXgAAsjTT.jpg</t>
  </si>
  <si>
    <t>Marc Espín</t>
  </si>
  <si>
    <t>Albert Rivera no califica ideológicamente a los partidos extraparlamentarios. #extremaizquierda #extremaderecha #extremocentro</t>
  </si>
  <si>
    <t>https://pbs.twimg.com/media/DsgwxVOXoAATlBQ.jpg</t>
  </si>
  <si>
    <t>Doctorando y profe en @MediaUAB. Investigo la relación poder-medios de comunicación. (Foto)Periodista independiente. Autor de #DescartadosElSalvador.</t>
  </si>
  <si>
    <t>https://www.instagram.com/marcespin/</t>
  </si>
  <si>
    <t>Francisco Fernandez</t>
  </si>
  <si>
    <t>#FelizMiércoles Albert Rivera evitó en la @La_SER calificar a VOX de extrema derecha. Pero no duda en calificar a U.P de extrema izquierda. Rivera no quiere que le roben el voto del fascismo.</t>
  </si>
  <si>
    <t>https://pbs.twimg.com/media/DsgwOruXoAAvniB.jpg</t>
  </si>
  <si>
    <t>Kikito</t>
  </si>
  <si>
    <t>Albert Rivera "a Podemos les llamo podemitas" , pero a Vox no los quiere clasificar. Pues nada, que ya está claro, no?</t>
  </si>
  <si>
    <t>Licenciao del tó</t>
  </si>
  <si>
    <t>Albert Rivera evita calificar a Vox como un partido de ultraderecha La entrevista completa del líder de @CiudadanosCs en @HoyPorHoy con @PepaBueno →</t>
  </si>
  <si>
    <t>Miguel Ángel Medina</t>
  </si>
  <si>
    <t>Para Albert Rivera, Podemos son populistas y extremistas y el PSOE está podemizado y al servicio de separatistas. - ¿Y Vox? Le pregunta Pepa Bueno - Yo no los califico, eso se lo dejo a ustedes. ¿Por qué PP y Ciudadanos se niegan a decir que Vox es de extrema derecha?</t>
  </si>
  <si>
    <t>Periodista, culo inquieto, curioso, viajero, lector, juntaletras. Honestamente subjetivo / Journalist / صحافي. De Huelma. Escríbeme a: mamedina[a]http://elpais.es</t>
  </si>
  <si>
    <t>http://elpais.com/autor/miguel_angel_medina/a/</t>
  </si>
  <si>
    <t>Piur 🍕💿</t>
  </si>
  <si>
    <t>Es fascinante escuchar a Albert Rivera, que ha calificado una y mil veces a Podemos, decir que él no opina de VOX porque no es un analista político.</t>
  </si>
  <si>
    <t>Quelifornia</t>
  </si>
  <si>
    <t>Textuitera.</t>
  </si>
  <si>
    <t>Javi Sierra</t>
  </si>
  <si>
    <t>Pepa Bueno poniendo a raya a Albert Rivera y otros escasos lujos mañaneros</t>
  </si>
  <si>
    <t>Coxsackie, NY</t>
  </si>
  <si>
    <t>Estudiante de Economía y Finanzas, UAM</t>
  </si>
  <si>
    <t>Dame Paciencia YA!</t>
  </si>
  <si>
    <t>#FelizMiércoles Albert Rivera ha estado hablando en la Ser. Este chico, menos en el congreso, está en todos lados</t>
  </si>
  <si>
    <t>Licenciado en impaciencia, master en cabreo, consultor junior de cuñao. Me gusta el rock también, nadie es perfecto.</t>
  </si>
  <si>
    <t>Jordi Peña Salvador</t>
  </si>
  <si>
    <t>Directo | Albert Rivera, en 'Hoy por Hoy'</t>
  </si>
  <si>
    <t>http://cadenaser.com/programa/2018/11/20/hoy_por_hoy/1542712340_800654.html#?ref=rss&amp;format=simple&amp;link=link</t>
  </si>
  <si>
    <t>Europa</t>
  </si>
  <si>
    <t>Comunicador, speaker, blogger, locutor, informático, creador audiovisual y community manager</t>
  </si>
  <si>
    <t>http://jordipsalvador.info</t>
  </si>
  <si>
    <t>Andreu Farràs</t>
  </si>
  <si>
    <t>Albert Rivera afirma que los independentistas catalanes son "nazis y golpistas", pero en el programa de @PepaBueno, @albertrivera se niega a decir si considera que @vox_es es un partido de extrema derecha o de derecha. "Eso lo dejo para los analistas políticos". @HoyPorHoy</t>
  </si>
  <si>
    <t>Barcelona, Catalunya, Espanya</t>
  </si>
  <si>
    <t>Redactor jefe de 'El Periódico de Catalunya' y profesor Periodismo en UAB. 'Els Güell' (Edic 62), mi último libro, lleva dos ediciones cartoné i una de bolsillo</t>
  </si>
  <si>
    <t>http://paios-catalans.blogspot.com</t>
  </si>
  <si>
    <t>jOse García</t>
  </si>
  <si>
    <t>Os animáis, #Germany? #Finland? #Portugal? Se OFRECE país MILENARIO en un GRAN momento actual. INCLUYE: Conferencia Episcopal. Toreros. Albert Rivera. Bonito Valle con momia. 2.756 aeropuertos. Bertín Osborne. Justicia aún por estrenar. Soleado y no muy lejos del PRIMER MUNDO. RT @garciagarciaix: Yo creo que ESPAÑA podría aprovechar el #BlackFriday para ponerse un buen precio. A ver si así, algún PAÍS AVANZADO pica y la compra para sacarla del POZO en el que está desde hace SIGLOS ya.</t>
  </si>
  <si>
    <t>https://twitter.com/garciagarciaix/status/1065144380963602432</t>
  </si>
  <si>
    <t xml:space="preserve">Madriz / Catalunya </t>
  </si>
  <si>
    <t>En eterna discusión conmigo mismo. Preguntar, aprender y defender, el lema de la República de mi vida. Antifascista.</t>
  </si>
  <si>
    <t>ErnesRod</t>
  </si>
  <si>
    <t>Pepa Bueno: “¿No defininiría a VOX como partido de extrema derecha?” Albert Rivera: “Eso lo dejo para ustedes los periodistas, no me gusta definir” PB: “¿y los independentistas?” AR: “Unos golpistas que quieren romper la democracia” 🤔🤷🏻‍♂️</t>
  </si>
  <si>
    <t>Banana Republic</t>
  </si>
  <si>
    <t>Economista. Marketero. Curioso. Que ser valiente no salga tan caro, que ser cobarde no valga la pena.</t>
  </si>
  <si>
    <t>Sara Wayne👑🎗</t>
  </si>
  <si>
    <t>Que le he hecho yo a la vida para escuchar a estas horas a Albert Rivera?</t>
  </si>
  <si>
    <t>Sala de Slytherin</t>
  </si>
  <si>
    <t>Lady Gaga 24/7. Rihanna. «Jo mataré dracs per tu.» Tres voltes rebel♀️.</t>
  </si>
  <si>
    <t>http://hot-and-pretty-bravery.tumblr.com/</t>
  </si>
  <si>
    <t>Victor Riverola</t>
  </si>
  <si>
    <t>Albert Rivera es un fascista y un mentiroso. Con orgullo y sin miedo. Cada uno es lo que es.</t>
  </si>
  <si>
    <t>Iceland</t>
  </si>
  <si>
    <t>Ex-international correspondent. Marketing Communication. Climber. Filmmaker. Author of 14 books. General Manager in Matterfilm #geopolitics #mountain #ski #film</t>
  </si>
  <si>
    <t>http://www.victorriverola.com</t>
  </si>
  <si>
    <t>Zisko10</t>
  </si>
  <si>
    <t>¡Qué gran periodista me parece @PepaBueno ! Apretando a todos los políticos que pasan por su micrófono. Hoy es el turno de Albert Rivera.</t>
  </si>
  <si>
    <t>Asesor editorial y corrector literario</t>
  </si>
  <si>
    <t>Albert Rivera se resiste a ubicar ideológicamente a Vox, en @La_SER. Pepa Bueno: "A Podemos no han tenido problemas en colocarlo en la extrema izquierda. ¿No cree usted que Vox es extrema derecha?" Albert Rivera: "Eso se lo dejo a ustedes". #SomosLaAudiencia21N #LaFalange</t>
  </si>
  <si>
    <t>David Lombao</t>
  </si>
  <si>
    <t>Albert Rivera dicindo na SER que os dirixentes independentistas cataláns "están siendo juzgados" e que se "está trabajando en una sentencia". Tamén que Pedro Sánchez "ha dicho" que os vai indultar. Despois, que si la posverdá.</t>
  </si>
  <si>
    <t>Santiago de Compostela</t>
  </si>
  <si>
    <t>Xornalista galego feito en Lugo con ganas de contar cousas. Algunhas escríboas en http://Praza.gal e Eldiario.es</t>
  </si>
  <si>
    <t>Óscar Pardo dl Salud</t>
  </si>
  <si>
    <t>Albert Rivera no tiene ningún problema en calificar de populistas a @ahorapodemos pero no quiere calificar a Vox, ni situarlo en ningún nivel ideológico en @HoyPorHoy ...ay con el centro. ..😬</t>
  </si>
  <si>
    <t>Ciudadano del mundo. Inconformista, utópico, luchador y muy cabezota... Vivir al 100% y reir a toda hora. Abogado y Profesor de Derecho. 🙂</t>
  </si>
  <si>
    <t>http://blogdeoscarpardodelasalud.blogspot.com.es/</t>
  </si>
  <si>
    <t>Guille Yiyi</t>
  </si>
  <si>
    <t>Albert Rivera ahora mismo en @HoyPorHoy diciendo que no define a Vox como extrema derecha porque no es analista político. El discursito buenrollista del respeto a todos y del diálogo me pone bastante enfermo.</t>
  </si>
  <si>
    <t>Sureste de madriles niño.</t>
  </si>
  <si>
    <t>Entrenador de baloncesto. Politólogo a trozos. Escribo (Mil novecientos noventa y dos, 2018)</t>
  </si>
  <si>
    <t>https://www.paypal.com/webapps/shoppingcart?mfid=1542787076856_e961b30570d95&amp;flowlogging_id=e961b305</t>
  </si>
  <si>
    <t>muy bien por Joan muy bien ayer probo Rivera q insultar y desacreditar tiene su precio y ayer lo pago .Albert Rivera me uno a joan Eres un FASCISTA RT @SimbadSud: Llàstima que @JoanTarda no demostri la mateixa contundència a l’hora de demanar la UNITAT dels partits independentistes</t>
  </si>
  <si>
    <t>https://twitter.com/SimbadSud/status/1064986298438569984</t>
  </si>
  <si>
    <t>pic.twitter.com/BU2t2EfQhh</t>
  </si>
  <si>
    <t>layeyedeparla</t>
  </si>
  <si>
    <t>“Podemos no me gusta lo que dice y Vox hay muchas cosas que no me gusta lo que dice” Eso acaba de decir Albert Rivera en @HoyPorHoy Analicen los matices que dicen mucho</t>
  </si>
  <si>
    <t>Juan</t>
  </si>
  <si>
    <t>Qué miedo tiene Albert Rivera ( y todo Ciudadanos) a ubicar ideológicamente a VOX.</t>
  </si>
  <si>
    <t>Abogado salmantino. Opositando, leyendo y opinando sobre lo que se tercie.</t>
  </si>
  <si>
    <t>El fonil</t>
  </si>
  <si>
    <t>Albert Rivera tampoco califica a VOX. Dice que eso lo deja para los periodistas.</t>
  </si>
  <si>
    <t>Refugiado</t>
  </si>
  <si>
    <t>Luchando por derogar la Ley del fonil.</t>
  </si>
  <si>
    <t>🌹Violet🌹</t>
  </si>
  <si>
    <t>Pero que pereza me está dando Albert Rivera en La Ser.</t>
  </si>
  <si>
    <t>Ilustradora y dibujante de cómics.Filosofía UNED. Elegante y perturbada. Chica Ye-yé Encargos, propuestas y proyectos: violetalgil@gmail.com</t>
  </si>
  <si>
    <t>http://violette-art.tumblr.com</t>
  </si>
  <si>
    <t>He visto más trozos de la intervención de ayer de Joan Tardà en que estalla contra Albert Rivera: en medio de su intervención, Rivera le llama desde el escaño "golpista". La esencia de Ciudadanos es la chulería de billar chungo, la violencia y la imposición. Son nauseabundos.</t>
  </si>
  <si>
    <t>Paudawan</t>
  </si>
  <si>
    <t>Estoy escuchando la entrevista a Albert Rivera en la Ser ahora. Espero que no se me haga un trombo cerebral.</t>
  </si>
  <si>
    <t>A veces te quiero y a veces no. Tourists whisperererer.</t>
  </si>
  <si>
    <t>Albert Rivera en la SER. Qué pereza.</t>
  </si>
  <si>
    <t>“Albert Rivera, es el único que se salva, porque siempre se mantuvo al margen del infame conchabeo. En adelante, los partidos tendrán que retratarse por su grado de aprecio a la separación de poderes.” ‘El juez que dijo basta de política’</t>
  </si>
  <si>
    <t>Pedro I. Altamirano</t>
  </si>
  <si>
    <t>República Andaluza</t>
  </si>
  <si>
    <t>Andalucía =*= #VíaAndaluza @aZamblea @andalucesAND @AndaluciaMarcha</t>
  </si>
  <si>
    <t>https://www.azamblea.org</t>
  </si>
  <si>
    <t>Yoshelektaa ⭐⭐</t>
  </si>
  <si>
    <t>😂😂😂😂😂 Albert Rivera se pasa al flamenco para conseguirse unos grammys  vía @eljueves</t>
  </si>
  <si>
    <t>https://www.eljueves.es/news/albert-rivera-se-pasa-flamenco-para-conseguirse-unos-grammys-2_2958</t>
  </si>
  <si>
    <t>Zion</t>
  </si>
  <si>
    <t>Nouveau Papa, Ecolo-solidaire, Nantes to Valencia, viejoven, jardinier-huertano, black musik dans les oreilles, tong dans les pieds et corazon militant ...</t>
  </si>
  <si>
    <t>http://www.sohotelvalencia.com</t>
  </si>
  <si>
    <t>Santiago Benlliure</t>
  </si>
  <si>
    <t>Cuando un payaso como este llama fascista a Albert Rivera, es que algo se está haciendo bien, ojalá, con elecciones generales, se vayan de la politica en breve si siguen por ese camino.</t>
  </si>
  <si>
    <t>https://www.elconfidencial.com/espana/madrid/2018-11-20/debate-indultos-golpistas-rivera-fascista-tarda-congreso_1658598/</t>
  </si>
  <si>
    <t>Director financiero, Empresario, Español, valenciano</t>
  </si>
  <si>
    <t>CONVERSACIONES: Albert Rivera, experto en penes.</t>
  </si>
  <si>
    <t>ҜλРΜΞН</t>
  </si>
  <si>
    <t>Pues a Albert Rivera nadie le hace ningún control antidoping... RT @ActualidadRT: La NASA realizará una revisión de seguridad en SpaceX tras un video de Elon Musk fumando marihuana</t>
  </si>
  <si>
    <t>https://twitter.com/ActualidadRT/status/1065131667357122560
https://es.rt.com/6cob</t>
  </si>
  <si>
    <t>https://pbs.twimg.com/media/DsgblxcXoAA8yO-.jpg</t>
  </si>
  <si>
    <t>Mоскба</t>
  </si>
  <si>
    <t>Lа νiժа, еsе jυеցօ tап сгυеl ժօոժе аl fiռаl dе lа рагtiժа ռаdiе ցаոа…💀☠️</t>
  </si>
  <si>
    <t>☀️Buenos días, empezamos el miércoles en @La_SER, con entrevista en @HoyPorHoy de @PepaBueno. ¡Os espero! 😉</t>
  </si>
  <si>
    <t>https://pbs.twimg.com/media/DsgkQ-OW0AAHU2v.jpg</t>
  </si>
  <si>
    <t>.@JoanTarda : Grazas por ser a voz de centos de miles, seguro millóns, de cidadáns dentro e fóra de Catalunya e por poñer a Albert Rivera no seu sitio. É triste “cruzar o Rubicón”, pero é necesario comezar a poñer as cousas claras. Por fin! #antifascismo RT @JoanTarda: Sr. Rivera, en nombre de miles de militantes @Esquerra_ERC fusilados y de demócratas catalanes y españoles asesinados por criminales golpistas, cada vez que nos diga “golpistas”, desde la tribuna, por autodefensa democrática, le llamaremos “fascista”.</t>
  </si>
  <si>
    <t>Se le adelantó Albert Rivera.</t>
  </si>
  <si>
    <t>https://pbs.twimg.com/media/DsgfdjUWwAcmJwf.jpg</t>
  </si>
  <si>
    <t>Sister 1492 🇪🇸 ن ➕</t>
  </si>
  <si>
    <t>Que dice un desvergonzado ultranacionalista que si llamas golpistas a los golpistas, él te llamará fascista. Entonces, ¿cómo llamo a los golpistas? Fascistas. Y entonces, ¿cómo llamo a los golpistas comunistas? Fascistas. ¿Y a los fascistas? Fascistas...</t>
  </si>
  <si>
    <t>https://www.lavanguardia.com/politica/20181120/453073801172/joan-tarda-albert-rivera-cada-vez-golpistas-llamaremos-fascista.html#linkcomments?utm_campaign=botones_sociales&amp;utm_source=twitter&amp;utm_medium=social</t>
  </si>
  <si>
    <t>Alcázar de Toledo</t>
  </si>
  <si>
    <t>Gloria a la Patria que supo seguir sobre el azul del mar el caminar del sol.</t>
  </si>
  <si>
    <t>CallesJmSanchez</t>
  </si>
  <si>
    <t>EXTRAORDINARIO TARDA,las cosas por su nombre ALBERT RIVERA eres un FASCISTA RT @davidmasso70: Que grande!!!</t>
  </si>
  <si>
    <t>https://twitter.com/davidmasso70/status/1064960461551149056
https://twitter.com/bernat_castro/status/1064956593723375616</t>
  </si>
  <si>
    <t>Donde las dan las toman....</t>
  </si>
  <si>
    <t>Nuno T. López</t>
  </si>
  <si>
    <t>https://www.eljueves.es/news/albert-rivera-se-pasa-flamenco-para-conseguirse-unos-grammys-2_2958?utm_source=facebook&amp;utm_medium=social&amp;utm_campaign=trafico</t>
  </si>
  <si>
    <t>electricista</t>
  </si>
  <si>
    <t>Raúl Julio Bator</t>
  </si>
  <si>
    <t>Tardà, a Rivera: “Cada vez que nos llame golpistas, le llamaremos fascista” @lavanguardia .... y yo digo “ dame pan y dime tonto “</t>
  </si>
  <si>
    <t>https://www.lavanguardia.com/politica/20181120/453073801172/joan-tarda-albert-rivera-cada-vez-golpistas-llamaremos-fascista.html?utm_campaign=botones_sociales&amp;utm_source=twitter&amp;utm_medium=social</t>
  </si>
  <si>
    <t>Comunidad Foral de Navarra, España</t>
  </si>
  <si>
    <t>Perito Judicial Inmobiliario.Administrador de fincas .Gestor Técnico. Experto en Fiscalidad Inmobiliaria.</t>
  </si>
  <si>
    <t>Error404</t>
  </si>
  <si>
    <t>Si Albert Rivera pide un kebapp, lo pide solo de POLLO? O como va la cosa</t>
  </si>
  <si>
    <t>Todos somos ignorantes pero no todos ignoramos las mismas cosas Version 1.8 arrogancia como defecto y virtud. actualmente: 14 y para rato</t>
  </si>
  <si>
    <t>Albert Rivera: "Marchena pone la dignidad; Casado y Sánchez, la vergüenza"  vía @elmundoes</t>
  </si>
  <si>
    <t>RobotRabbit 🍉</t>
  </si>
  <si>
    <t>Si encontrases una Death Note ¿Qué nombre escribirías en segundo lugar después de Albert Rivera?</t>
  </si>
  <si>
    <t>GranCanariaTV</t>
  </si>
  <si>
    <t>"FASCISTAS cuando nos llamen GOLPISTAS" Joan Tardá a Albert Rivera #EquipoFranco  vía @YouTube</t>
  </si>
  <si>
    <t>https://youtu.be/Rj-R7Ex9YKE</t>
  </si>
  <si>
    <t>http://www.GranCanariaTV.com nace con la intención de convertirse en un medio de comunicación donde todos pueden participar.</t>
  </si>
  <si>
    <t>http://www.GranCanariaTV.com</t>
  </si>
  <si>
    <t>Borja López</t>
  </si>
  <si>
    <t>“He visto a un tal Albert Rivera con cara de primo, Primo De Rivera, de Kiko Rivera, y creo que es el mismo, o igual de hortera.”</t>
  </si>
  <si>
    <t>https://pbs.twimg.com/media/DsfbFIVX4AAOv2x.jpg</t>
  </si>
  <si>
    <t>Sevilla, Spain</t>
  </si>
  <si>
    <t>En su vida, un hombre puede cambiar de mujer, de partido político o de religión, pero no puede cambiar de equipo de fútbol. Socio del Real Betis.</t>
  </si>
  <si>
    <t>http://callefutbolera.blogspot.com.es/?m=1</t>
  </si>
  <si>
    <t>Máximo Sáenz</t>
  </si>
  <si>
    <t>Albert Rivera defiende su moción y Joan Tardà le grita *Fascista*:  vía @YouTube</t>
  </si>
  <si>
    <t>http://youtu.be/zwxkHCgJXHw?a</t>
  </si>
  <si>
    <t>Desmintiendo las afirmaciones de los Independentistas Catalanes. Suscríbete a mi canal en youtube (link abajo)🇪🇸 La república Catalana no existe y no la habrá</t>
  </si>
  <si>
    <t>https://www.youtube.com/channel/UCB6toQXxSyyqr_2U4f_ztPA</t>
  </si>
  <si>
    <t>Enrique de Diego</t>
  </si>
  <si>
    <t>Joan Tarda pasa el Rubicón y llama “fascista” a Albert Rivera en el Congreso</t>
  </si>
  <si>
    <t>http://dlvr.it/QrkSzx</t>
  </si>
  <si>
    <t>https://pbs.twimg.com/media/DsfTuTZV4AA51JV.jpg</t>
  </si>
  <si>
    <t>Periodista y escritor. Presidente de Plataforma de las Clases Medias. Autor de Casta parasitaria, El manifiesto de las clases medias y La monarquía inútil</t>
  </si>
  <si>
    <t>http://www.ramblalibre.com</t>
  </si>
  <si>
    <t>ALBERT RIVERA contratara una empresa de CAZATALENTOS 📡 Vibración, 🌏 LIBERACIÓN,</t>
  </si>
  <si>
    <t>https://goo.gl/vVkE2n?qgb95=4698132922</t>
  </si>
  <si>
    <t>Albert Rivera en VI Escuela de Verano DENAES 2012 🌏 Caracas,</t>
  </si>
  <si>
    <t>https://youtu.be/V9YYQDqha-Q?aoz57=8755000264</t>
  </si>
  <si>
    <t>JA SALGOT</t>
  </si>
  <si>
    <t>http://shr.gs/uZPjeBR</t>
  </si>
  <si>
    <t>Alfon Libertad</t>
  </si>
  <si>
    <t>Grupo de apoyo a Alfon, detenido en la huelga del 14N del 2012 y preso desde el 17J del 2015 por un montaje policial.</t>
  </si>
  <si>
    <t>http://alfonlibertad.wordpress.com</t>
  </si>
  <si>
    <t>Juan Zamora Martinez</t>
  </si>
  <si>
    <t>Me ha gustado un vídeo de @YouTube ( - ‼️CON UN PAR‼️ Albert RIVERA 💥RE-MA-TA💥 a Pedro SÁNCHEZ</t>
  </si>
  <si>
    <t>https://www.facebook.com/ARRIELO</t>
  </si>
  <si>
    <t>...::: ςнáиαтσѕ єитєяρяιѕєѕ :::...</t>
  </si>
  <si>
    <t>Me ha gustado un vídeo de @YouTube ( - Albert RIVERA *RETRATA* al PSOE: "Ustedes están negociando INDULTOS</t>
  </si>
  <si>
    <t>http://youtu.be/NVSW54BAaOM?a</t>
  </si>
  <si>
    <t>Gijón, Asturias [ESPAÑA]</t>
  </si>
  <si>
    <t>34 - YouTuber - Autor de David Chánatos y sus amigos: Seis años de condena - Actor, director, actor de doblaje, guionista y animador - Animando desde 2001.</t>
  </si>
  <si>
    <t>http://www.youtube.com/channel/UCwOLOtzRfmqDG94YCmiRkaQ?sub_confirmation=1</t>
  </si>
  <si>
    <t>matias</t>
  </si>
  <si>
    <t>¡SE DEJÓ VER LAS COSTURAS! Albert Rivera arremete contra Venezuela y confiesa que quiere ser presidente de España (+VIDEO)</t>
  </si>
  <si>
    <t>http://www.lechuguinos.com/albert-rivera-venezuela-espana/</t>
  </si>
  <si>
    <t>san juan</t>
  </si>
  <si>
    <t>POLITICA E INVESTIGACION</t>
  </si>
  <si>
    <t>https://mcaf.ee/5nluj0</t>
  </si>
  <si>
    <t>🇮🇨MISTER Palabroto Acido      💯MAS👹😈 QUE 😇😇</t>
  </si>
  <si>
    <t>Tenia entendido que eso fué cosa de ALBERT Rivera y Cs. Alb. Rivera..... Gran feminista y libertador RT @IsaiasLafuente: Siento insistir, pero es que ustedes insisten. Cuando usted revise lo que dijeron los compañeros liberales de Clara y se entere de que votaron en contra del sufragio femenino le va a dar un síncope. Con todos los respetos...</t>
  </si>
  <si>
    <t>https://twitter.com/IsaiasLafuente/status/1064616753987272705
https://twitter.com/ignacioaguado/status/1064554743853400065</t>
  </si>
  <si>
    <t>Donde me dejan365</t>
  </si>
  <si>
    <t>🇮🇨No sé porqué! Veo informativos, y mi ansia es twitear (NO SÉ DODE ESTOY)Pero sé que es.. #MuuuuuuuuuuuPeroQueMuuuuuuuuuuuJalaoPaLaIzquierda.</t>
  </si>
  <si>
    <t>Juanjo Hernández Ramos</t>
  </si>
  <si>
    <t>SINCERAMENTE A MI ME LA CHUPA UN MONO Y TU NO TIENES CARA PERSONA.</t>
  </si>
  <si>
    <t>La inteligencia me persigue pero yo soy más rápido..😂😂😂</t>
  </si>
  <si>
    <t>PascalBlaise</t>
  </si>
  <si>
    <t>El 20-N de Susanna Griso: entrevista a Rivera y conexión al Valle de los Caídos vía @elnacionalcat_e</t>
  </si>
  <si>
    <t>https://goo.gl/jEN7ak</t>
  </si>
  <si>
    <t>Mitad de mi vida en paises extranjeros de tres distintos continentes, ha cambiado mi vision del mundo y de las personas pero sigo sin entenderlos.</t>
  </si>
  <si>
    <t>emilio</t>
  </si>
  <si>
    <t>Pedro Sánchez busca votos, pero Albert Rivera quiere externalizar la gestión. #EquipoFranco</t>
  </si>
  <si>
    <t>https://pbs.twimg.com/media/DsfAnk0X4AA7_0-.jpg</t>
  </si>
  <si>
    <t>spain europa</t>
  </si>
  <si>
    <t>VIVE Y DEJA MORIR.... Entre la verdad y la parodia. Depende del dia...</t>
  </si>
  <si>
    <t>¿Cómo definir a Albert Rivera?🤔👇</t>
  </si>
  <si>
    <t>pic.twitter.com/OZehXlL1uf</t>
  </si>
  <si>
    <t>¿Qué es Albert Rivera?🤔 Tardá te lo cuenta👏👇</t>
  </si>
  <si>
    <t>pic.twitter.com/arMLaYwf6b</t>
  </si>
  <si>
    <t>ALBERT RIVERA llama GOLPISTAS a los presos políticos sin haberse celebrado juicio, y por tanto cargándose la presunción de inocencia. Técnica franquista está que enlaza con una verdad indiscutible. En España los únicos que han dado golpes de Estado han sido siempre las derechas.</t>
  </si>
  <si>
    <t>Lo Tio Collons</t>
  </si>
  <si>
    <t>Después de todo lo que le han llamado a Albert Rivera, que ahora le llamen FASCISTA...</t>
  </si>
  <si>
    <t>pic.twitter.com/V0FfMzwZLd</t>
  </si>
  <si>
    <t>Alguns diuen que sóc un bot rus, o un hacker veneçolà i també, probablement, agent del KGB. Diuen...</t>
  </si>
  <si>
    <t>Serge Blöte</t>
  </si>
  <si>
    <t>Tenerife</t>
  </si>
  <si>
    <t>Mari Carmen Donaire</t>
  </si>
  <si>
    <t>Ya lo dijo @TeresaRodr_: Albert Rivera Primo de Rivera! #RiveraFascista #RiveraFeixista #AdelanteAndalucía</t>
  </si>
  <si>
    <t>pic.twitter.com/K4v7qGZJGg</t>
  </si>
  <si>
    <t>Hospitalet de Llobregat</t>
  </si>
  <si>
    <t>Enfermera y mamá de mis dos joyitas. Corazón partío entre Sevilla y Cataluña. Cada vez más jartita y más republicana ❤️💛💜🎗️</t>
  </si>
  <si>
    <t>Cro Cop</t>
  </si>
  <si>
    <t>Oposición venazilana. Los amiguitos de Pablo Casado y Albert Rivera. RT @Re_conecta: @LuisAlfBorbon Aqui la única verdad es que el nieto tiene derecho a extrañar y España a agradecer que el General los haya salvado del comunismo, de lo contrario, hubiera sido otra RDA o Polonia... hoy una vez más estamos en peligro, ojalá no necesitemos otro Franco</t>
  </si>
  <si>
    <t>https://twitter.com/Re_conecta/status/1064861137743855616</t>
  </si>
  <si>
    <t>5º Regimiento (Acero).</t>
  </si>
  <si>
    <t>@pasionlatina</t>
  </si>
  <si>
    <t>Albert Rivera: "Marchena pone la dignidad; Casado y Sánchez, la vergüenza"  por @_raulpina_</t>
  </si>
  <si>
    <t>Joan Tarda pasa el Rubicón y llama "fascista" a Albert Rivera en el Congreso - Rambla Libre</t>
  </si>
  <si>
    <t>http://ramblalibre.com/2018/11/20/joan-tarda-pasa-el-rubicon-y-llama-fascista-a-albert-rivera-en-el-congreso/#.W_SQFjwtqys.twitter</t>
  </si>
  <si>
    <t>Noelia Urdangaray</t>
  </si>
  <si>
    <t>Argentina sobreviviendo en España. Ex estudiante d Medicina.Nac &amp; Pop.Gallina, merengue y racinguista (d Stder) Amo leer y el cine.Mi actor favorito: @norihouse</t>
  </si>
  <si>
    <t>.@JoanTarda ha dicho algo muy evidente: Albert Rivera es un FAS-CIS-TA, pero independientemente de lo que diga, y lo es a todas horas, todos los días.</t>
  </si>
  <si>
    <t>pic.twitter.com/Cct5u9H7Qs</t>
  </si>
  <si>
    <t>Vicente Castillo</t>
  </si>
  <si>
    <t>Albert Rivera. Debate sobre indultos a los líderes separatistas  vía @YouTube</t>
  </si>
  <si>
    <t>Subsecretario de Implantacion Cs</t>
  </si>
  <si>
    <t>20/11/18 Tardá llama varias veces fascista a Albert Rivera olvidandose de los asesinatos Companys</t>
  </si>
  <si>
    <t>https://youtu.be/PhMQUlxugqU</t>
  </si>
  <si>
    <t>Ana Carrero Anguita</t>
  </si>
  <si>
    <t>¡¡ZASCA DESCOMUNAL¡¡Albert RIVERA a PODEMOS y PSOE: "¿Ustedes INDULTARÍA...  vía @YouTube</t>
  </si>
  <si>
    <t>Torredonjimeno</t>
  </si>
  <si>
    <t>Intenta pensar como piensan los que te rodean. Con esta base todo es posible.</t>
  </si>
  <si>
    <t>Guille Errejón 🇵🇸</t>
  </si>
  <si>
    <t>Albert Rivera es una vergüenza para España. Sin ninguna agenda para con sus ciudadanos:siempre con la minoría e incapaz de ponerse,una sola vez, con los españoles frente a los privilegiados. Que existe sólo en la medida en que unos pueblos de España estén enfrentados con otros.</t>
  </si>
  <si>
    <t>Bilb(a)o, EH.</t>
  </si>
  <si>
    <t>Cariño a nuestro país, a sus pueblos y a la gente trabajadora. "Somos el pueblo por construir". Sociólogo.</t>
  </si>
  <si>
    <t>https://telegram.me/GuilleErrejon</t>
  </si>
  <si>
    <t>🔥DEMOLEDOR🔥 Albert RIVERA 💥PONE CONTRA LAS CUERDAS💥 al SANCHISMO por los...  vía @YouTube</t>
  </si>
  <si>
    <t>Albert Rivera es una auténtica escoria humana y un miserable de mierda. RT @rac1: Un autocar de Ciutadans recorre Madrid en contra de l’indult als independentistes empresonats amb imatges d'Oriol Junqueras rient</t>
  </si>
  <si>
    <t>http://ramblalibre.com/2018/11/20/joan-tarda-pasa-el-rubicon-y-llama-fascista-a-albert-rivera-en-el-congreso/#.W_SKuhUjvTA.twitter</t>
  </si>
  <si>
    <t>lasmica</t>
  </si>
  <si>
    <t>Algun dia los españoles se darán cuenta de lo que a despertado Albert Rivera pero ya será tarde #puntofranquista</t>
  </si>
  <si>
    <t>Siguen pasando los años y cada vez que entro en la nova creu alta se me acelera el corazon</t>
  </si>
  <si>
    <t>En una sola moción, Albert Rivera se ha cagado en los principios constitucionales, los procedimientos jurídicos y todo eso en nombre de "la igualdad" de no sé qué entre los ciudadanos. ¡MEDIOCRES! 🍊 #STOPIndultos</t>
  </si>
  <si>
    <t>Joan Calaf</t>
  </si>
  <si>
    <t>Rivera no cede a Tardá tras llamarle “fascista” y “vergüenza”: “¡Golpistas!”</t>
  </si>
  <si>
    <t>http://bit.ly/2TuSpdG</t>
  </si>
  <si>
    <t>https://pbs.twimg.com/media/DserFR7XcAEjj5U.jpg
https://pbs.twimg.com/media/DseCrnrWwAM_feh.jpg</t>
  </si>
  <si>
    <t>Antes era malo ahora ya no, Vivir el dia a dia Fan de Dragon Ball Z/GT/Super</t>
  </si>
  <si>
    <t>Albert Rivera describe perfectamente los "alcances del sanchismo" y sus palanganeros. Indultos a golpistas y conspiraciones con terroristas... @CiudadanosCs #AhoraSíCs 🍊🍊🧡🧡</t>
  </si>
  <si>
    <t>Presentamos una propuesta en el @Congreso_Es para impedir que se indulte a quienes intentaron destruir la democracia española... Y esta es la respuesta del PSOE de Sánchez 🎥👇🏻</t>
  </si>
  <si>
    <t>Pero cuando lo ves con más calma, verás que lo que pretende Albert Rivera es cortar la vía y dinamitar a cualquier posible entendimiento entre Gobierno e Independentistas, lo que querría realmente es atar al Gobierno a ver si así conseguirá elecciones. ¡MEDIOCRES! #STOPIndultos</t>
  </si>
  <si>
    <t>Cardinale</t>
  </si>
  <si>
    <t>CDL "Para que triunfe el mal, basta con que los hombres de bien no hagan nada." Burke. "Los españoles tienen el derecho y el deber de defender a España". CE a30</t>
  </si>
  <si>
    <t>Albert Rivera presenta una moción para que no se indulte a gente que no solo no ha sido condenada, es que tampoco ha sido juzgada. Es su forma de interferir en el proceso judicial, condenando sin juicio y estuviera aquí hace 40 años estaría ya fusilando. #STOPIndultos ¡Circula!</t>
  </si>
  <si>
    <t>https://pbs.twimg.com/media/DseoDMBX4Ac5-I8.jpg</t>
  </si>
  <si>
    <t>fandres</t>
  </si>
  <si>
    <t>http://shr.gs/KxIcSkQ</t>
  </si>
  <si>
    <t>Ver "¡¡ZASCA DESCOMUNAL¡¡Albert RIVERA a PODEMOS y PSOE: "¿Ustedes INDULTARÍAN a TEJERO?"" en YouTube</t>
  </si>
  <si>
    <t>El Campello</t>
  </si>
  <si>
    <t>Profesor interino de secundaria, trabajé anteriormente como investigador en electroquímica, en empresa privada y en universidad</t>
  </si>
  <si>
    <t>Capitán Cavernícola</t>
  </si>
  <si>
    <t>Fighting for the truth from the cavern</t>
  </si>
  <si>
    <t>Pedro M. Alcántara</t>
  </si>
  <si>
    <t>Yo todavía estoy esperando la caña de pescar que me iba a regalar el Sr. Albert #Rivera por ser andaluz. Jajaja #DebateCanalSur #SusanaGana RT @angelrd: Ahora es cuando Marín defiende a los andaluces de la caña de pescar de Rivera..... O no #DebateCanalSur #SusanaGana</t>
  </si>
  <si>
    <t>https://twitter.com/angelrd/status/1064648213939015682</t>
  </si>
  <si>
    <t>Ciudadano de un lugar llamado Mundo</t>
  </si>
  <si>
    <t>Jurista de formación. Demócrata, socialista, republicano y feminista de pura cepa ¿Mi compromiso? Con los derechos humanos, la Justicia y una nueva Ilustración</t>
  </si>
  <si>
    <t>http://heaquielpuertoparanavegantes.blogspot.com/</t>
  </si>
  <si>
    <t>Lupe García</t>
  </si>
  <si>
    <t>Hay gente que opina que cada vez que Albert Rivera os llame golpista Le llaméis cocainomano. RT @gabrielrufian: Muy resumido. Cada vez que C’s nos llame golpistas nosotros les llamaremos fascistas. Fascistas. Cada vez. En cada pleno. Por embusteros.</t>
  </si>
  <si>
    <t>https://twitter.com/gabrielrufian/status/1064982449971752961</t>
  </si>
  <si>
    <t>Albert Rivera analiza en profundidad el programa #EquipoFranco, en nada da con la clave de la fortuna del malnacido Franco</t>
  </si>
  <si>
    <t>https://pbs.twimg.com/media/DsemiFEX4AAMp2b.jpg</t>
  </si>
  <si>
    <t>GustavoReportero</t>
  </si>
  <si>
    <t>Tal vez se ha medicado de más... La cosa es, @JoanTarda, que los votantes de Cs pensamos como el según Usted "fascista" Albert Rivera. Por eso votamos Cs. Y somos más de un millón en Cat. Hala... acepte la realidad y no nos insulte más. Trabaje en algo constructivo para variar. RT @GuajeSalvaje: Tardà se olvida la medicación, le entra la calentura y llama fascista a Albert Rivera. Fascista y asesina fue ERC durante la Guerra Civil. Fascistas son sus herederos, que acallan a la oposición en el Parlament, y acosan, persiguen y discriminan a los constitucionalistas.</t>
  </si>
  <si>
    <t>Manuel Valle</t>
  </si>
  <si>
    <t>Albert Rivera ha descubierto en Cádiz que en Andalucía se habla un dialecto muy parecido al Catalán y quiere prohibirlo y aplicar el 155</t>
  </si>
  <si>
    <t>España Spain</t>
  </si>
  <si>
    <t>M. Rajoy</t>
  </si>
  <si>
    <t>Para #EquipoFranco el que forman Pablo Casado, Albert Rivera y Santiago Abascal. #EnterrarElFranquismo</t>
  </si>
  <si>
    <t>Yo he venido aquí a reírme, si no lo entiendes es tu problema, pero a mí no me des la turra. 😊</t>
  </si>
  <si>
    <t>ZASCA descomunal de ALBERT RIVERA a PSOE y PODEMOS: " ¿Ustedes indultarían a Tejero?"  @CiudadanosCs @Cs_Andalucia #AhoraSíCs #STOPindultos #VotaCs</t>
  </si>
  <si>
    <t>ALBERT RIVERA RETRATA AL PSOE: "Ustedes están negociando INDULTOS por ESCAÑOS"  @CiudadanosCs @Cs_Andalucia #AhoraSíCs #VotaCs</t>
  </si>
  <si>
    <t>Psilocybe Marx 🎗</t>
  </si>
  <si>
    <t>Por fin alguien le llama como se le tiene que llamar al impresentable, intolerante, y fascista de Albert Rivera. Ya basta de atacar a los demócratas catalanes con mentiras. Ya basta de crear odio entre pueblos. Ya basta de mentir y manipular.</t>
  </si>
  <si>
    <t>https://pbs.twimg.com/media/Dseh8erXoAIDmzh.jpg</t>
  </si>
  <si>
    <t>La manera cómo se presentan las cosas no es la manera como son; y si las cosas fueran como se presentan la ciencia entera sobraría. 🎗</t>
  </si>
  <si>
    <t>DEMOLEDOR 💥💥 ALBERT RIVERA💥💥 PONE CONTRA LAS CUERDAS 💥💥al SANCHISMO💥💥 por los INDULTOS a los GOLPISTAS  @CiudadanosCs @Cs_Andalucia #AhoraSíCs #VotaCs</t>
  </si>
  <si>
    <t>el azote de ls corru</t>
  </si>
  <si>
    <t>El pacto de Albert Rivera y Manuel Valls se agrieta por los guiños a los socialistas  vía @elmundoes</t>
  </si>
  <si>
    <t>https://www.elmundo.es/cataluna/2018/11/20/5bf30ac5468aeb7a7e8b4607.html</t>
  </si>
  <si>
    <t>Política y Gobierno Nuevos talentos</t>
  </si>
  <si>
    <t>silvia</t>
  </si>
  <si>
    <t>mujer ,madrileña,trabajadora ,dedicada a la atención al cliente,apasionada del cine,música,y una gran conversación💟💟</t>
  </si>
  <si>
    <t>JULI CESAR</t>
  </si>
  <si>
    <t>Me ha gustado un vídeo de @YouTube ( - Albert Rivera. Debate sobre indultos a los líderes separatistas).</t>
  </si>
  <si>
    <t>Clot #BCNenComú</t>
  </si>
  <si>
    <t>“Dejen de fomentar la crispación y démosle una solución política al conflicto" Repassada del dia de la @Lucia___M a l’Albert Rivera i a Ciudadanos No us perdeu la intervenció‼️ 👏🏻👏🏻👏🏻👏🏻</t>
  </si>
  <si>
    <t>pic.twitter.com/jeu0BWiGiF</t>
  </si>
  <si>
    <t>Clot-Camp de l'Arpa, Barcelona</t>
  </si>
  <si>
    <t>Grup de Barcelona En Comú al Clot-Camp de l'Arpa. Telegram 👉 https://t.me/bcomusantmarti e-mail: clotcampdelarpa@bcnencomu.cat</t>
  </si>
  <si>
    <t>https://www.facebook.com/GuanyemClot/</t>
  </si>
  <si>
    <t>jbonR</t>
  </si>
  <si>
    <t>“🔥DEMOLEDOR🔥 Albert RIVERA 💥PONE CONTRA LAS CUERDAS💥 al SANCHISMO por los INDULTOS a los GOLPISTAS” Sánchez retratado La Relatividad Moral de los Socialistas, al nivel Comunista: todo relativo, menos el Sillón A los #Golpistas les molesta que les llamemos Golpistas #Rebeldes</t>
  </si>
  <si>
    <t>pic.twitter.com/GbJcFOkj42</t>
  </si>
  <si>
    <t>Azul y Verde, por la ventana</t>
  </si>
  <si>
    <t>El tío de la tara</t>
  </si>
  <si>
    <t>Joan Tardá ha descubierto América llamando fascista al fascista de Albert Rivera.</t>
  </si>
  <si>
    <t>Soy gilipollas, no os hagáis ilusiones.</t>
  </si>
  <si>
    <t>Pablo Casado, Albert Rivera y Santi Abascal herederos y por tanto adoradores dl franquismo, siguen siendo un claro ejemplo de q el franquismo sigue vivo Por tanto: #EnterrarElFranquismo es imprescindible #DestruirElValle es imprescindible #IlegalizarElFranquismo es imprescindible</t>
  </si>
  <si>
    <t>Josemi Fernández</t>
  </si>
  <si>
    <t>Ni Albert Rivera es un fascista, ni Joan Tardà y el resto de independentistas son golpistas. Las cosas como son. Pero bueno, es la política del tweet, es lo que nos merecemos...</t>
  </si>
  <si>
    <t>Badalona, España</t>
  </si>
  <si>
    <t>Politólogo (que no político) por la UAB. Tengo un blog en @Blog_Politiblog donde digo cosas interesantes sobre política</t>
  </si>
  <si>
    <t>http://politiblogblog.wordpress.com</t>
  </si>
  <si>
    <t>Maria de la 🍊</t>
  </si>
  <si>
    <t>La suerte que tiene tanto @gabrielrufian como @JoanTarda, es que Albert Rivera es político, tiene cultura, tiene educación y siente respeto por el sitio donde está y por quienes le escuchan. Cada vez, en cada pleno dejan claro que además de golpistas son unos indeseables RT @gabrielrufian: Muy resumido. Cada vez que C’s nos llame golpistas nosotros les llamaremos fascistas. Fascistas. Cada vez. En cada pleno. Por embusteros.</t>
  </si>
  <si>
    <t>citricus</t>
  </si>
  <si>
    <t>🍋Ciudadano digital que ayuda a pintar 🇪🇸 y🇪🇺 de naranja 🍊</t>
  </si>
  <si>
    <t>Albert RIVERA *RETRATA* al PSOE: "Ustedes están negociando INDULTOS por ...  vía @YouTube</t>
  </si>
  <si>
    <t>raduven</t>
  </si>
  <si>
    <t>Me encantó la participación de Albert Rivera en el programa "Espejo Público" de esta mañana, como siempre, demostró tener las ideas claras y memoria histórica, pero ante todo proyectos para España y todos los españoles.</t>
  </si>
  <si>
    <t>Alguien tenía que explicarle algunas cosas básicas a Albert Rivera, y hoy lo ha hecho Joan Tardá en el congreso 👏👏👏</t>
  </si>
  <si>
    <t>pic.twitter.com/EjATYpJCnj</t>
  </si>
  <si>
    <t>👉 El PSOE se retrata: vota en contra de que se prohíba el indulto a los soberanistas del 1-O Albert Rivera: "Convoque #EleccionesYa e inclúyalo en su programa electoral, a ver que piensan los españoles" 🛑 #STOPIndultos</t>
  </si>
  <si>
    <t>pic.twitter.com/SwAZuV6Aud</t>
  </si>
  <si>
    <t>Loli Alonso👑</t>
  </si>
  <si>
    <t>Albert Rivera: la dictadura en cierta parte tiene paz y orden porque todo el mundo sabe lo que hay... Pero que le veis de malo a esa frase? No es una realidad?🤦 Decir eso no significa estar a favor del franquismo🤦 dejaros de tonterías ya pliiiiiis....🙏</t>
  </si>
  <si>
    <t>💙 ♏ 🍊🇪🇸 @Kur0Gami13 ~ 17💕</t>
  </si>
  <si>
    <t>https://instagram.com/ratonzitaspain/</t>
  </si>
  <si>
    <t>XÈNIA</t>
  </si>
  <si>
    <t>Albert Rivera es la copia mala y barata de Trump.</t>
  </si>
  <si>
    <t>Birmingham·Barcelona·Dublin</t>
  </si>
  <si>
    <t>20 / that type of tea</t>
  </si>
  <si>
    <t>http://suburbiasqueen.tumblr.com</t>
  </si>
  <si>
    <t>AbriendoLosOjos</t>
  </si>
  <si>
    <t>El problema de que Albert Rivera sea un fascista es que en la España de hoy eso no resta votos.</t>
  </si>
  <si>
    <t>Navarra/Nafarroa</t>
  </si>
  <si>
    <t>El propósito de los medios es crear opinión según la agenda del poder coorporativo (Chomsky). Desde la vieja Iruñea. Contrainformación y, también, opinión.</t>
  </si>
  <si>
    <t>Los franceses ya no pueden más y eso que Macron acaba de llegar y ya tiene a todo el país en contra de tantos impuestos, tanto privatizarlo todo y gobernar para la oligarquía. Ninguna sorpresa de hecho, Albert Rivera es su copia española.</t>
  </si>
  <si>
    <t>Albert Rivera en VI Escuela de Verano DENAES 2012 🌏 Riña de reñir,</t>
  </si>
  <si>
    <t>https://youtu.be/V9YYQDqha-Q?eza79=5980214040</t>
  </si>
  <si>
    <t>Tardà se enfada cuando Albert Rivera llama golpistas a los golpistas. Las verdades ofenden. Q llamen a Rivera fascista es lo q los separatistas llaman a todo aquel demócrata q se oponga a ellos. Es algo así como "o te callas o te llamo fascista y te hago la vida imposible".Teatro</t>
  </si>
  <si>
    <t>Delfos</t>
  </si>
  <si>
    <t>Albert Rivera, tu tienes indultado al único golpista que dio un auténtico golpe de Estado... Rivera tu estas indultando al dictador Francisco Franco..</t>
  </si>
  <si>
    <t>Todo pasa y todo queda......!!!</t>
  </si>
  <si>
    <t>Que dice Albert Rivera que #STOPIndultos... Bueno, lo que dice es que no debe haber indultos a los Presos Políticos encarcelados injustamente, pero sí que se puede indultar a los Corruptos como hacía M. Rajoy con el apoyo del propio Albert Rivera. ¡Fascista Mocoso!</t>
  </si>
  <si>
    <t>https://pbs.twimg.com/media/DseUqWDXQAEHWTc.jpg</t>
  </si>
  <si>
    <t>Albert Rivera, ese peligroso personajillo que va acusando de golpista a diestro y siniestro. Definitivamente la derecha española ha perdido el rumbo, si es que alguna vez lo tuvo.</t>
  </si>
  <si>
    <t>Ángeles ML</t>
  </si>
  <si>
    <t>🍊 Albert #Rivera pone contra las cuerdas al #Sanchismo ¡no te lo pierdas! #STOPindultos</t>
  </si>
  <si>
    <t>mi casa🍊, CAM 🇪🇸</t>
  </si>
  <si>
    <t>Incombustible, trabajadora, Aonikenk, mamá ×1, 🇪🇺🇪🇸🇦🇷🇨🇱🇲🇽 @CiudadanosCs Agrupación #Getafe</t>
  </si>
  <si>
    <t>Emilio Guerrero Calvo</t>
  </si>
  <si>
    <t>Emiliano García Page presidente de Castilla la Mancha, deja caer que Albert Rivera podía haber formado parte del partido Socialista perfectamente. Y yo me pregunto que si no será que el estaría mejor en ciudadanos. Zascazoo!! de Abalos a Page.</t>
  </si>
  <si>
    <t>https://www.europapress.es/nacional/noticia-abalos-responde-page-rivera-no-tendria-cabida-psoe-afilio-20181120105907.html</t>
  </si>
  <si>
    <t>Digo lo que pienso y siento. Tod@s me temen porque soy poco influenciable.</t>
  </si>
  <si>
    <t>Bollinger76</t>
  </si>
  <si>
    <t>Tardà ha tenido tiempo para salir del bar del Congreso y oir las verdadades que le ha dicho Albert Rivera. Y claro, se ha molestado. Y ha vuelto al bar</t>
  </si>
  <si>
    <t>Furiano, Mirmidón, Pretoriano, GGG20 y Sibarita. Carpe Diem. I hate all the cherries especially one. Make BCN great again</t>
  </si>
  <si>
    <t>Albert Rivera dice que Las dictaduras tienen cierta paz y orden .🤦‍♀️🤦‍♀️ Sólo le ha faltado decir ARRiBA ESPAÑA! VIVA FRANCO ! GILIPOLLAS</t>
  </si>
  <si>
    <t>Tripi</t>
  </si>
  <si>
    <t>Pocas veces cambio mi estado de ánimo de indeferencia o repulsión cuando escucho hablar a un político, pero es escuchar a Tardà llamando fascista a Albert Rivera me ha sacado una sonrisa.</t>
  </si>
  <si>
    <t>❝ ❞</t>
  </si>
  <si>
    <t>Anarquista, individualista y nihilista.</t>
  </si>
  <si>
    <t>Franchu</t>
  </si>
  <si>
    <t>Me ha gustado un vídeo de @YouTube ( - Broncano reta a Albert Rivera a un partido de tenis #LaVidaModerna).</t>
  </si>
  <si>
    <t>http://youtu.be/E8gVl67OYxQ?a</t>
  </si>
  <si>
    <t>Respirando</t>
  </si>
  <si>
    <t>Love_SoniaSWC</t>
  </si>
  <si>
    <t>Me ha gustado un vídeo de @YouTube ( - Albert Rivera. Pregunta al Gobierno si habrá indultos a políticos</t>
  </si>
  <si>
    <t>http://youtu.be/IAFobxjDQqY?a</t>
  </si>
  <si>
    <t>Soy Sweetie,Tamarista, Reiger y Obviusly. Mi sueño es poder colaborar con Sweet California de alguna forma y poder formar parte de algun club de fans oficial.</t>
  </si>
  <si>
    <t>https://www.facebook.com/andresloveluciagil</t>
  </si>
  <si>
    <t>Inmaculada Pilar Gr.</t>
  </si>
  <si>
    <t>Abogada. Ciudadana del mundo. Cs Ceuta.</t>
  </si>
  <si>
    <t>Miguel Suárez M</t>
  </si>
  <si>
    <t>Ahora resulta que el falangista fascista de 1ª y provocador donde los haya este charlatán mequetrefe, si, Albert Rivera, puede subir al estrado e insultar a todo el mundo y llamar golpista a Dios y a su madre, comprando con Tejero, esto no crea odio?</t>
  </si>
  <si>
    <t>Pensionista</t>
  </si>
  <si>
    <t>Noe Muñoz</t>
  </si>
  <si>
    <t>Pues me parece genial que por fin alguien le diga a Albert Rivera lo que pensamos todos</t>
  </si>
  <si>
    <t>Graduada en Derecho👩🏼‍🎓 Máster Abogacía ⚖️📚</t>
  </si>
  <si>
    <t>montemayor9999#Acta est Fabula</t>
  </si>
  <si>
    <t>A ver, Sres. d Atresmedia: Qué puñetas tiene q ver, q Albert Rivera felicite y se alegre del premio obtenido por la serie española LA CASA DE PAPEL. cn las políticas q defiende Ciudadanos? Es que no está claro que es solo una felicitación y no un debate sobre política? Q nivel!</t>
  </si>
  <si>
    <t>NINGÚN PARTIDO POLÍTICO PUEDE ANULAR NUESTRA CAPACIDAD DE CRITERIO NI NUESTRA LIBERTAD PORQUE ÉSTA ES INHERENTE AL SER HUMANO.</t>
  </si>
  <si>
    <t>Jaime Bonilla</t>
  </si>
  <si>
    <t>"Una Nación decente no permite ni regala Impunidad a quienes intentan liquidar la Democracia" Albert Rivera. RT @Albert_Rivera: 🏛 Una nación decente no promete ni regala impunidad a quienes intentan liquidar la democracia. Señores del PSOE y de Podemos, ¿ustedes hubieran indultado a Tejero? Nosotros nunca. ¿Por qué quieren indultar a los golpistas separatistas? #STOPIndultos</t>
  </si>
  <si>
    <t>Ganímedes, Junto Al BosqueAzul</t>
  </si>
  <si>
    <t>En mi designio de Vida está combatir la Infamia, desde la Libertad ó desde la Cárcel' : Alvaro Uribe Vélez.</t>
  </si>
  <si>
    <t>David Lamoso</t>
  </si>
  <si>
    <t>Albert Rivera:" No nos fiamos ni del PSOE ni de Pedro Sánchez"</t>
  </si>
  <si>
    <t>Pontevedra (Galicia)_ España</t>
  </si>
  <si>
    <t>Isidor Marí</t>
  </si>
  <si>
    <t>El millor acudit del dia: Albert Rivera dient "Estoy harto de que se trate a los españoles como tontos."</t>
  </si>
  <si>
    <t>Des de dins d'aquesta gàbia no piul en nom de ningú ni de cap entitat sàvia. No seré sempre oportú, però a ningú li tenc ràbia ni vull que em fonyi ningú!</t>
  </si>
  <si>
    <t>Nieves Ramos</t>
  </si>
  <si>
    <t>Que han llamado fascista a Albert Rivera ... espera que le han llamado por su apellido</t>
  </si>
  <si>
    <t>🚀 📍 #AltsasukoakAske</t>
  </si>
  <si>
    <t>http://www.tumblr.com/blog/nie1983me</t>
  </si>
  <si>
    <t>Gonzalo Bonet</t>
  </si>
  <si>
    <t>Olé los huevos de Joan Tarda al llamar a Albert Rivera coml lo que es. The "F" word</t>
  </si>
  <si>
    <t>Architect, but psychology student. Snooker player. Love music, sport, running, travel, writing, series... Si no aportas argumentos y/o faltas al respeto, block</t>
  </si>
  <si>
    <t>Cherif Habadi</t>
  </si>
  <si>
    <t xml:space="preserve">Madrid. España </t>
  </si>
  <si>
    <t>Sahraui.Licenciado en filología hispanoamericana</t>
  </si>
  <si>
    <t>Diego Ruiz Figueroa</t>
  </si>
  <si>
    <t>El zasca de Risto Mejide a Albert Rivera a propósito del flamenco (y de la ciencia)  vía @ZelebTV</t>
  </si>
  <si>
    <t>http://www.zeleb.es/tv/el-zasca-de-risto-mejide-a-albert-rivera-a-proposito-del-flamenco-y-de-la-ciencia</t>
  </si>
  <si>
    <t>Moral de Cva(Ciudad Real)</t>
  </si>
  <si>
    <t>Twiter oficial.Componente B.M LA LIRA (Moral de Cva,trompeta) @LosArmaosMoral (cornetin) y LOS GUAPERAS.Madridista hasta la muerte.Ahora tambien podemita✌✊</t>
  </si>
  <si>
    <t>María Sol GLEZ SANT</t>
  </si>
  <si>
    <t>HONOR A LOS QUE DAN SU VIDA POR AMOR, SIN DUDAR. 🙏➕🙏➕🙏 "ZAFARRANCHO ORACIÓN" POR LA PAZ EN SYRIA... POR LA CONVERSIÓN DE ESPAÑA,</t>
  </si>
  <si>
    <t>Princesa Monga 🎗️</t>
  </si>
  <si>
    <t>#EnterrarElFranquismo Pues que estaba mirando las tendencias del día y he visto que una de esas era Rivera (Albert Rivera se supone). En eso que me encuentro este twuit. ¿Casualidad? No lo creo.</t>
  </si>
  <si>
    <t>https://pbs.twimg.com/media/DseK21jXoAEtxOB.jpg</t>
  </si>
  <si>
    <t>Vilanova i la Geltrú, España</t>
  </si>
  <si>
    <t>Antifan. Antihater. Semen de mona.</t>
  </si>
  <si>
    <t>Ni Dios ni Rey</t>
  </si>
  <si>
    <t>A Albert Rivera le parece muy bien que El Supremo haya dejado en suspenso el ingreso en prisión de los fascistas que atacaron el Centro Blanquerna. #CsSiempreConLosFascistas #STOPIndultos</t>
  </si>
  <si>
    <t>Esperando el Asteroide de 10Km de diámetro que nos ponga en nuestro sitio. "Periodista de Investigación Superficial"</t>
  </si>
  <si>
    <t>David Tarrío Jimenez</t>
  </si>
  <si>
    <t>Dijo la sartén al cazo, apártate que me tiznas...</t>
  </si>
  <si>
    <t>https://www.elespanol.com/espana/politica/20181117/rivera-ofensiva-espana-forzar-psoe-definirse-indultos/353715494_0.html</t>
  </si>
  <si>
    <t>-ESPAÑOL. Luego, todo lo demás. -Dar una oportunidad a la opción de Centro.</t>
  </si>
  <si>
    <t>Javier Aroca Alonso</t>
  </si>
  <si>
    <t>Me tragué tor #DebateCanalSur y al final, no salió ni Albert Rivera ni Pablo Casado. Decepción</t>
  </si>
  <si>
    <t>Sevilla/Andalusía/La Tierra</t>
  </si>
  <si>
    <t>Pasé Derecho,Antropología y Árabe. Republicano y federalista. Opino en @Hora25 , @CanalSur radio y tv y @DebatAlRojoVivo. Escribo en @eldiarioes y @elperiodico</t>
  </si>
  <si>
    <t>Sabrina G.</t>
  </si>
  <si>
    <t>Albert Rivera📣: "Ustedes están negociando INDULTOS por ESCAÑOS" #StopIndultos #EleccionesGeneralesYA</t>
  </si>
  <si>
    <t>Prohibido rendirse, respira hondo y sigue. #Ciudadana #TrabajadoraSocial #AgentedeInclusión</t>
  </si>
  <si>
    <t>🏛 PSOE, Podemos y separatistas tumban nuestra iniciativa para impedir que se indulte a los golpistas del procés en caso de que sean condenados. Esto es un antes y un después: el PSOE ha abandonado definitivamente el constitucionalismo. #STOPIndultos</t>
  </si>
  <si>
    <t>Pau Font</t>
  </si>
  <si>
    <t>Por fin alguien llama a las cosas por su nombre, hoy en el Congreso @JoanTarda ha llamado fascista al fascista de Albert Rivera... voy a celebrarlo, esto y que hace 43 años murió Franco #20N</t>
  </si>
  <si>
    <t>pic.twitter.com/ABmEm2ecob</t>
  </si>
  <si>
    <t>Membre del @Partit_pirata. Regidor a l'Ajuntament de Sant Esteve de les Roures @st_esteveroures. Parlo de política i tecnologia.</t>
  </si>
  <si>
    <t>http://www.pau.fm</t>
  </si>
  <si>
    <t>🔴🌹 susanadiaz: "Hemos ganado por derecho propio que nuestras elecciones son para hablar de #Andalucía. Que lo escuchen Albert_Rivera y pablocasado_. Solo les interesa #Andalucía para bloquearnos, quieren frenar la voz de esta tierra" #MásAndalucía #…</t>
  </si>
  <si>
    <t>https://pbs.twimg.com/media/DseE6RBWkAAAeTZ.jpg</t>
  </si>
  <si>
    <t>Dennis el Azul</t>
  </si>
  <si>
    <t>Me estoy cansando de ver a Albert Rivera en la tele, ya parece Pablo Iglesias.</t>
  </si>
  <si>
    <t>Drunken Mayor's City</t>
  </si>
  <si>
    <t>Un océano de conocimiento de una pulgada de profundidad. Profesor de informática, jugador y modificador de videojuegos. Evita seguirme que soy un pesado.</t>
  </si>
  <si>
    <t>http://www.youtube.com/RockHumanDelta</t>
  </si>
  <si>
    <t>"FASCISTAS cuando nos llamen GOLPISTAS" Joan Tardá a Albert Rivera #STOPIndultos #EnterrarElFranquismo #EspañaSinFiltros  vía @YouTube</t>
  </si>
  <si>
    <t>Politwoops CAT</t>
  </si>
  <si>
    <t>DT José Manuel Villegas: ◽️ Así de claro lo ha dicho hoy Albert Rivera "Nosotros decimos SÍ a la justicia; NO a los indultos". Es inmoral e…</t>
  </si>
  <si>
    <t>https://twitter.com/i/web/status/1064957636465098753
http://pltwps.it/_B8EMqR2</t>
  </si>
  <si>
    <t>Tots els tuits publicats i esborrats pels parlamentaris catalans. Des de juny de 2013. Un projecte (en construcció) d'@albertcuesta.</t>
  </si>
  <si>
    <t>https://www.politwoops.com/g/Catalonia</t>
  </si>
  <si>
    <t>http://ramblalibre.com/2018/11/20/joan-tarda-pasa-el-rubicon-y-llama-fascista-a-albert-rivera-en-el-congreso/#.W_Rif6VBXsk.twitter</t>
  </si>
  <si>
    <t>Joder , resulta que Heidi es familia de Albert Rivera</t>
  </si>
  <si>
    <t>pic.twitter.com/UysitDTOxU</t>
  </si>
  <si>
    <t>Canal Dirtenefe</t>
  </si>
  <si>
    <t>Joan Tardá reprime al demagogo Albert Rivera: ¡FAS-CIS-TA!  vía @YouTube</t>
  </si>
  <si>
    <t>https://youtu.be/q3y3WyvX06A</t>
  </si>
  <si>
    <t>Me ha parecido muy bien que en el Parlamento de España por fin hayan llamado a Albert Rivera Fascista. Lo es él y una gran parte de los que le votan. Joan Tardá lo ha hecho en nombre de todos los que tenemos un familiar en las cunetas.</t>
  </si>
  <si>
    <t>https://pbs.twimg.com/media/DseCrnrWwAM_feh.jpg</t>
  </si>
  <si>
    <t>VÍDEO | Joan Tardà explota contra Albert Rivera: "Cada vez que nos llame golpistas, nosotros le llamaremos fascista"</t>
  </si>
  <si>
    <t>http://atres.red/2qo6r4</t>
  </si>
  <si>
    <t>http://ramblalibre.com/2018/11/20/joan-tarda-pasa-el-rubicon-y-llama-fascista-a-albert-rivera-en-el-congreso/#.W_RgGoFNJRY.twitter</t>
  </si>
  <si>
    <t>Albert Rivera. Reunión de Grupo Parlamentario  vía @YouTube</t>
  </si>
  <si>
    <t>https://youtu.be/GKN2W6ysdlQ</t>
  </si>
  <si>
    <t>Lola Otón</t>
  </si>
  <si>
    <t>Albert RIVERA *RETRATA* al PSOE: "Ustedes están negociando INDULTOS por ...  vía @YouTube @PCamorrista #STOPIndultos</t>
  </si>
  <si>
    <t>Devoradora compulsiva de libros y nacionalistas (a partes iguales).</t>
  </si>
  <si>
    <t>Clemen</t>
  </si>
  <si>
    <t>¡¡ZASCA DESCOMUNAL¡¡Albert RIVERA a PODEMOS y PSOE: "¿Ustedes INDULTARÍA...  vía @YouTube #StopIndultos ???</t>
  </si>
  <si>
    <t>Si hablamos con respeto, hablamos.- C's</t>
  </si>
  <si>
    <t>Albert RIVERA *RETRATA* al PSOE: "Ustedes están negociando INDULTOS por ...  vía @YouTube #STOPindultos ???</t>
  </si>
  <si>
    <t>Susanna</t>
  </si>
  <si>
    <t>Tardà, a Rivera: "Cada vez que nos llame golpistas, le llamaremos fascista" la mala educación y prepotencia del Sr. Albert Rivera quedan demostradas mientras el Sr. Tarda está en el turno de palabra. Y esto es lo que nos espera.</t>
  </si>
  <si>
    <t>Valldoreix</t>
  </si>
  <si>
    <t>🔥DEMOLEDOR🔥 Albert RIVERA 💥PONE CONTRA LAS CUERDAS💥 al SANCHISMO por los...  vía @YouTube #STOPIndultos ??</t>
  </si>
  <si>
    <t>¡¡ZASCA DESCOMUNAL¡¡Albert RIVERA a PODEMOS y PSOE: "¿Ustedes INDULTARÍA...  via @YouTube</t>
  </si>
  <si>
    <t>🔥DEMOLEDOR🔥 Albert RIVERA 💥PONE CONTRA LAS CUERDAS💥 al SANCHISMO por los...  vía @YouTube #STOPindultos</t>
  </si>
  <si>
    <t>Amigo Conductor</t>
  </si>
  <si>
    <t>"De la risa a la estupefacción": analizamos las graciosas caras de Albert Rivera escuchando en directo a Javier Maroto</t>
  </si>
  <si>
    <t>http://dlvr.it/QrjM1V</t>
  </si>
  <si>
    <t>https://pbs.twimg.com/media/DseBCxXU0AAHZoL.jpg</t>
  </si>
  <si>
    <t>Primer plato: series de TV. Segundo plato: Real Madrid. Postre: coger el coche. Así vivo.</t>
  </si>
  <si>
    <t>🔥DEMOLEDOR🔥 Albert RIVERA 💥PONE CONTRA LAS CUERDAS💥 al SANCHISMO por los...  vía @YouTube. El acoso a jueces y fiscales x parte dl Gobierno d @sanchezcastejon como precio a su sillón en Moncloa, los pone dl lado d los Inconstitucionalistas</t>
  </si>
  <si>
    <t>Aless</t>
  </si>
  <si>
    <t>Joan Tardá reprime al demagogo Albert Rivera: ¡FAS-CIS-TA!</t>
  </si>
  <si>
    <t>Estoy cansado de la falsa democracia</t>
  </si>
  <si>
    <t>Albert RIVERA *RETRATA* al PSOE: "Ustedes están negociando INDULTOS por ...  via @YouTube</t>
  </si>
  <si>
    <t>Tesa</t>
  </si>
  <si>
    <t>#EnterrarElFranquismo Albert Rivera dice que Las dictaduras tienen cierta paz y orden .🤦‍♀️🤦‍♀️ Sólo le ha faltado decir ARRiBA ESPAÑA! VIVA FRANCO !</t>
  </si>
  <si>
    <t>pic.twitter.com/iVvjvTFK8D</t>
  </si>
  <si>
    <t>País Valenciá</t>
  </si>
  <si>
    <t>Republicana ❤💛💜 Podemita SI SE PUEDE !✊</t>
  </si>
  <si>
    <t>Marcos Cáceres</t>
  </si>
  <si>
    <t>Apaixonado da terra de miña nai Trabajando para mejorar mi pueblo http://facebook.com/MCaceresMari</t>
  </si>
  <si>
    <t>MiLABAS #TitoEtern</t>
  </si>
  <si>
    <t>Albert Rivera: "Golpistas" Al Congreso; @JoanTarda: "Fascista! FASCISTA!! No somos golpistas, estamos haciendo un ejercicio de autodefensa. Amnistía, absolución y autodeterminación" #Mes324 #FreeTothom #LlibertatPresosPolítics #LlibertatPresesPolítiques</t>
  </si>
  <si>
    <t>SALT - CATALUNYA</t>
  </si>
  <si>
    <t>A L´ATUR, AJUDANT ALS PARES, LA MARE i EL PARE DELICATS DE SALUT. DEP tiu Jaume, no t´oblidarem mai. Recordant Tito #TitoEtern Visc a #Salt🎗️</t>
  </si>
  <si>
    <t>Albert Rivera ha ido ya tantas veces a espejo público , que yo creo que sí le enfocan las cámaras los Pies está en calcetines o con zapatillas de andar por casa</t>
  </si>
  <si>
    <t>"FASCISTAS cuando nos llamen GOLPISTAS" Joan Tardá a Albert Rivera #STOPIndultos Luis Alfonso de Borbón #EspañaSinFiltros  vía @YouTube</t>
  </si>
  <si>
    <t>Baelo Claudia</t>
  </si>
  <si>
    <t>Tardà, a Rivera: “Cada vez que nos llame golpistas, le diremos fascista” @lavanguardia</t>
  </si>
  <si>
    <t>No soy un hombre, ni un poeta, ni una hoja, sino un pulso herido que presiente el más allá. Federico García Lorca ( 1898-1936 )❤️🧡💜</t>
  </si>
  <si>
    <t>mon</t>
  </si>
  <si>
    <t>LA SEXTA TV - NOTICIAS | Joan Tardá: "Albert Rivera es un fanático que cada vez se parece más a Primo de Rivera"</t>
  </si>
  <si>
    <t>https://www.lasexta.com/noticias/nacional/joan-tarda-albert-rivera-es-un-fanatico-que-cada-vez-se-parece-mas-a-primo-de-rivera_201805105af43fcc0cf2a3f6a8c18a74.html</t>
  </si>
  <si>
    <t>Zibelina 🇪🇸 🇪🇺 🌎</t>
  </si>
  <si>
    <t>Mundo, Europa, España</t>
  </si>
  <si>
    <t>Ciudadana demócrata no nacionalista interesada por la informacion mundial, defensora de la cultura humanista y lectora permanente. No sigo cuentas protegidas</t>
  </si>
  <si>
    <t>El portavoz de ERC precisa que los votantes de Cs no lo son y piensa que tampoco la mayor parte de los diputados del partido liberal</t>
  </si>
  <si>
    <t>https://www.lavanguardia.com/politica/20181120/453073801172/joan-tarda-albert-rivera-cada-vez-golpistas-llamaremos-fascista.html?utm_source=twitter_lv&amp;utm_medium=social</t>
  </si>
  <si>
    <t>❗PENOSO❗ ALBERT RIVERA:"Junqueras e Iglesias están negociando indultos por escaños":  via @YouTube</t>
  </si>
  <si>
    <t>http://youtu.be/YiYsiclMwAs?a</t>
  </si>
  <si>
    <t>Naranjito 🍊</t>
  </si>
  <si>
    <t>El abuelo cebolleta Joan Tardà llama a Albert Rivera ‘fascista’ tirando de histrionismo y demagogia. Intentaron subvertir el orden constitucional de manera unilateral, y guste o no guste eso tiene un nombre: ¡Golpistas! #STOPIndultos</t>
  </si>
  <si>
    <t xml:space="preserve">Tabarnia </t>
  </si>
  <si>
    <t>“... cuando se lucha contra cualquiera de los avatares del totalitarismo hay que decidir si ser Chamberlain o Churchill” Etiam si omnes, ego non</t>
  </si>
  <si>
    <t>http://www.facebook.com/groups/yosoynaranjito</t>
  </si>
  <si>
    <t>Tormenta78 Periodismo Digital</t>
  </si>
  <si>
    <t>Albert Rivera C,s sobre los indultos a golpistas de Cataluña</t>
  </si>
  <si>
    <t>http://youtube.com/watch?v=SJ0cIw0WosA&amp;feature=youtu.be
http://tormenta78.com/2018/11/albert-rivera-cs-sobre-los-indultos-a-golpistas-de-cataluna/</t>
  </si>
  <si>
    <t>Videos de youtube a favor de la unidad de España y la paz en Cataluña</t>
  </si>
  <si>
    <t>http://tormenta78.com</t>
  </si>
  <si>
    <t>💥TARDÁ explota contra ALBERT RIVERA💥 por llamar GOLPISTAS a los GOLPISTAS:  via @YouTube</t>
  </si>
  <si>
    <t>http://youtu.be/WHm93JtsGEA?a</t>
  </si>
  <si>
    <t>Informativos Telecinco</t>
  </si>
  <si>
    <t>Tardá estalla contra Rivera: “¡Cada vez que nos llame golpistas le diremos fascista!”</t>
  </si>
  <si>
    <t>http://bit.ly/2Dziu5Z</t>
  </si>
  <si>
    <t>https://pbs.twimg.com/media/Dsd8IGLXcAEchgw.jpg</t>
  </si>
  <si>
    <t>Perfil oficial de Informativos Telecinco | http://www.facebook.com/InformativosTelecinco</t>
  </si>
  <si>
    <t>http://www.telecinco.es/informativos</t>
  </si>
  <si>
    <t>Albert Rivera preguntó a Pedro Sánchez en el Congreso de los Diputado si concedería el indulto a los presos soberanistas una vez haya condena firme en el Tribunal Supremo. Pedro Sánchez, para variar, cambió de tema y huyó sin responder… 🙄 #STOPIndultos</t>
  </si>
  <si>
    <t>https://pbs.twimg.com/media/Dsd752wWsAECbmD.jpg</t>
  </si>
  <si>
    <t>Jorge de Arlanza</t>
  </si>
  <si>
    <t>Lo mejor que le puede pasar a Ciudadanos es tener a Tardà en el Congreso, echando espuma por la boca, mientras llama fascista a Albert Rivera.</t>
  </si>
  <si>
    <t>Filmjölk</t>
  </si>
  <si>
    <t>Ego Non. Música en @crazyminds. Cine en @Videodromo. De todo en @columnacero. Aprendiendo a usar la espada ropera.⚔️</t>
  </si>
  <si>
    <t>Mlp</t>
  </si>
  <si>
    <t>La independencia, profesionalidad y dignidad de Marchena no encaja en la manipulación judicial del bipartidismo, PSOE, y PP Albert Rivera: "Marchena pone la dignidad; Casado y Sánchez, la vergüenza"  vía @elmundoes</t>
  </si>
  <si>
    <t>Jolualfe</t>
  </si>
  <si>
    <t>Me trae al fresco David Bisbal como artista, pero tiene razón en esto. Basura televisiva valiente a la hora de sonsacar a unos y cobardes cuando se trata de llevar la contraria a quienes les financian (hacer la pelota a Albert Rivera siempre que pueden)</t>
  </si>
  <si>
    <t>https://www.elmundo.es/loc/famosos/2018/11/20/5bf3e8f1e2704e5a8f8b483f.html</t>
  </si>
  <si>
    <t>Madrid Libertario</t>
  </si>
  <si>
    <t>La vida sólo tiene sentido en la lucha. El triunfo o la derrota esta en nuestras manos ¡Así que celebremos la lucha! #AntiNeoliberal &amp; #AntiSionista</t>
  </si>
  <si>
    <t>https://pbs.twimg.com/media/Dsd6w2MWkAE43YW.jpg</t>
  </si>
  <si>
    <t>Harto de puchi Matrix</t>
  </si>
  <si>
    <t>El pacto de Albert Rivera y Manuel Valls se agrieta por los guiños a los socialistas Cs renuncia a su marca pero liderará la plataforma Manuel Valls, un hombre decidido, combativo y con las ideas claras, socialista apreciado por la derecha #LaSilenciosaCat</t>
  </si>
  <si>
    <t>Para Göbbels, «una mentira repetida mil veces se convierte en una verdad» Llevan años haciendolo. Paremos la hemoragia economica y salvemos España.</t>
  </si>
  <si>
    <t>https://www.lasilenciosacat.org</t>
  </si>
  <si>
    <t>Guaje Salvaje</t>
  </si>
  <si>
    <t>Tardà se olvida la medicación, le entra la calentura y llama fascista a Albert Rivera. Fascista y asesina fue ERC durante la Guerra Civil. Fascistas son sus herederos, que acallan a la oposición en el Parlament, y acosan, persiguen y discriminan a los constitucionalistas.</t>
  </si>
  <si>
    <t>Otro miembro anónimo de la mayoría silenciosa. Un catalán no indepe que no acepta ser un ciudadano de segunda</t>
  </si>
  <si>
    <t>https://pbs.twimg.com/media/Dsd6UVyW0AIVQbn.jpg</t>
  </si>
  <si>
    <t>Los Presos Políticos no quieren indultos, quieren la absolución plena y activa. Se ve que el payaso de Albert Rivera es juez, jurado y verdugo. #STOPIndultos</t>
  </si>
  <si>
    <t>🔥ALBERT RIVERA CONTUNDENTE🔥 con PEDRO SÁNCHEZ No al INDULTO a los GOLPISTAS:  via @YouTube</t>
  </si>
  <si>
    <t>http://youtu.be/jTEDjPDds90?a</t>
  </si>
  <si>
    <t>Joan Tardà explota contra Albert Rivera: "Cada vez que nos llame golpistas, nosotros le llamaremos fascista"</t>
  </si>
  <si>
    <t>http://atres.red/2qo6r1</t>
  </si>
  <si>
    <t>antonio</t>
  </si>
  <si>
    <t>-¿ese es stalin? +es albert rivera</t>
  </si>
  <si>
    <t>tampoco me hagáis mucho caso ☭ 🔑= @candadodeayel</t>
  </si>
  <si>
    <t>🏛 Una nación decente no promete ni regala impunidad a quienes intentan liquidar la democracia. Señores del PSOE y de Podemos, ¿ustedes hubieran indultado a Tejero? Nosotros nunca. ¿Por qué quieren indultar a los golpistas separatistas? #STOPIndultos</t>
  </si>
  <si>
    <t>‼️CON UN PAR‼️ Albert RIVERA 💥RE-MA-TA💥 a Pedro SÁNCHEZ por los INDULTOS a los GOLPISTAS CATALANES</t>
  </si>
  <si>
    <t>http://ramblalibre.com/2018/11/20/joan-tarda-pasa-el-rubicon-y-llama-fascista-a-albert-rivera-en-el-congreso/#.W_RTTdcnPbM.twitter</t>
  </si>
  <si>
    <t>Jordi Mondragón</t>
  </si>
  <si>
    <t>El 20-N de Susanna Griso: entrevista a Rivera i connexió al Valle de los Caídos @elnacionalcat</t>
  </si>
  <si>
    <t>https://goo.gl/DMmrNj</t>
  </si>
  <si>
    <t>Metge psiquiatre, compromès, lliurepensador. #FemRepublica cada dia. #LlibertatOstatgesCatalans</t>
  </si>
  <si>
    <t>https://www.blogger.com/blogger.g?blogID=8333473903934007604#allposts</t>
  </si>
  <si>
    <t>Esquerra Republicana</t>
  </si>
  <si>
    <t>🎥 [VÍDEO] @JoanTarda a Albert Rivera: "Cada vez que nos llame a nosotros golpistas, le diremos fascista"</t>
  </si>
  <si>
    <t>Països Catalans</t>
  </si>
  <si>
    <t>Twitter oficial d'Esquerra Republicana de Catalunya.</t>
  </si>
  <si>
    <t>http://www.esquerra.cat</t>
  </si>
  <si>
    <t>http://ramblalibre.com/2018/11/20/joan-tarda-pasa-el-rubicon-y-llama-fascista-a-albert-rivera-en-el-congreso/#.W_RTHuyvJEE.twitter</t>
  </si>
  <si>
    <t>No me quiero ni imaginar el parraque que le iba a dar a Albert Rivera si se solucionara el tema de Cataluña y se tuviese que dedicar a hacer política. #STOPIndultos</t>
  </si>
  <si>
    <t>Miley Cyrus Fans♥</t>
  </si>
  <si>
    <t>La réplica de Atresmedia a este comentario de Albert Rivera sobre 'La casa de papel'</t>
  </si>
  <si>
    <t>http://dlvr.it/Qrj8Z2</t>
  </si>
  <si>
    <t xml:space="preserve">Kiss Kiss ♥ </t>
  </si>
  <si>
    <t>Love More Miley Cyrus</t>
  </si>
  <si>
    <t>jose gines rico</t>
  </si>
  <si>
    <t>Hace muchos años que no escuchaba tanto odio en las intervenciones del Parlamento Español, escuchar a Albert Rivera saliéndose los ojos de tanto odio era algo que creia que no lo volvería ver en la política, desde Blas Piñar no había tanto odio como el trasladado por ciudadanos</t>
  </si>
  <si>
    <t>Monóvar</t>
  </si>
  <si>
    <t>amigo de sus amigos, ciudadano del mundo. mis hijos.mis nietos mi gente lo mejor del mundo...... Socialista y Republicano de siempre y para siempre.</t>
  </si>
  <si>
    <t>Albert Rivera y Casado, a pesar de ser jóvenes, huelen a rancio, neftalina y brillantina, silo les falta ponerse petróleo en el pelo contra los piojos</t>
  </si>
  <si>
    <t>Eva Sáenz de Pipaón</t>
  </si>
  <si>
    <t>‼️CON UN PAR‼️ Albert RIVERA 💥RE-MA-TA💥 a Pedro SÁNCHEZ por los INDULTOS...  vía @YouTube #STOPindultos</t>
  </si>
  <si>
    <t>Majadahonda, España</t>
  </si>
  <si>
    <t>Licenciada en derecho. La gran paradoja de mi vida es que quienes más me desquician son quienes más me hacen reir🐢🐳🐣</t>
  </si>
  <si>
    <t>Albert Rivera: "Marchena pone la dignidad; Casado y Sánchez, la vergüenza"  por @_raulpina_ #eleccionesya</t>
  </si>
  <si>
    <t>#Ciudadanos #YouTube Nuevo vídeo de CiudadanosCs // Albert Rivera. Debate sobre indultos a los líderes separatistas</t>
  </si>
  <si>
    <t>https://www.youtube.com/watch?v=64sgFG9MlcI</t>
  </si>
  <si>
    <t>http://ramblalibre.com/2018/11/20/joan-tarda-pasa-el-rubicon-y-llama-fascista-a-albert-rivera-en-el-congreso/#.W_RPU5x6B1M.twitter</t>
  </si>
  <si>
    <t>Kannia</t>
  </si>
  <si>
    <t>Critican a Albert Rivera que no ha entendido el argumento de la serie, opuesto a sus ideales. ¿Pero por qué hay que politizarlo todo?, es una serie de entretenimiento,no defiende ningún ideal🙄 Bueno, voy a ver Walking dead. Esto... los muertos son de izquierdas o de derechas?🤔 RT @ElHuffPost: La réplica de Atresmedia a este comentario de Albert Rivera sobre 'La casa de papel'</t>
  </si>
  <si>
    <t>https://twitter.com/ElHuffPost/status/1064940845814681600
https://www.huffingtonpost.es/2018/11/20/la-respuesta-de-atresmedia-a-albert-rivera-por-lo-que-ha-dicho-sobre-la-casa-de-papel_a_23594976/</t>
  </si>
  <si>
    <t>Kevin González</t>
  </si>
  <si>
    <t>Twitter es ese mundo en el que, si en la vida real no te raspa ni una espátula puedes hacer creer que te tiran al whatsapp como si fueras el camello de Albert Rivera.</t>
  </si>
  <si>
    <t>Tu paraíso no es el mío, concepto variable.</t>
  </si>
  <si>
    <t>🏛 El sanchismo quiere indultar a quienes dieron un golpe a nuestra democracia para comprar así su apoyo y sus escaños. Ante este pacto inmoral y humillante para el pueblo español, decimos alto y claro: NO a los indultos, SÍ a la Justicia. #STOPIndultos</t>
  </si>
  <si>
    <t>Politikeo UM7BJ</t>
  </si>
  <si>
    <t>Joan Tardá reprime al demagogo Albert Rivera: ¡FAS-CIS-TA!:  vía @YouTube</t>
  </si>
  <si>
    <t>http://youtu.be/q3y3WyvX06A?a</t>
  </si>
  <si>
    <t>Creador del canal Youtube UM7BJ (giroizquierdadebate). El mundo se divide, entre indignos e indignados, ya sabrá cada quien de qué lado quiere o puede estar✊</t>
  </si>
  <si>
    <t>https://www.youtube.com/channel/UCCx9Dm5y3XklFmIq4thw_SQ</t>
  </si>
  <si>
    <t>Que nadie lo dude Albert Rivera y Casado, llevan el fascismo en su ADN, que los democratas de España, lo tengan en cuenta a la hora de votar</t>
  </si>
  <si>
    <t>Albert Rivera ha sufrido la violencia típica del fascismo con los separatistas radicales. Hemos visto como señalaban el negocio de su familia numeraosas veces y como le mandaban hasta una bala a su buzón. Hoy Tardá ha incitado a esa violencia desde la Tribuna.</t>
  </si>
  <si>
    <t>Me ha gustado un vídeo de @YouTube ( - ‼️SIN PIEDAD‼️ Albert RIVERA 💥RE-MA-TA💥 a Pedro SÁNCHEZ</t>
  </si>
  <si>
    <t>Cristóbal Delatorre</t>
  </si>
  <si>
    <t>http://dlvr.it/Qrj1yn</t>
  </si>
  <si>
    <t>https://pbs.twimg.com/media/DsduZaMUwAAWXaQ.jpg</t>
  </si>
  <si>
    <t>Soy Republicano y de Podemos ✊ 💜. Soy alérgico al PP-Cs-Psoe.</t>
  </si>
  <si>
    <t>Srta de las Altas Lacas</t>
  </si>
  <si>
    <t>El golpista Joan Tardá llama fascista a Albert Rivera en el pleno del Congreso en nombre de los asesinados por la "bestia". Ver para creer. Uno de los sucesores de Companys y colega de Otegui. Pd. A los demócratas nos están insultando x encima de nuestras posibilidades</t>
  </si>
  <si>
    <t>La Libertad dijo un día a la Ley; tú me estorbas. La Ley respondió a la Libertad; yo te guardo.(Pitágoras)🇪🇸 (Ex-socialista) #UNED</t>
  </si>
  <si>
    <t>Plumaroja2.0</t>
  </si>
  <si>
    <t>Todavía suena el zasca del ministro Ábalos a Emiliano García Page a cuenta de si Albert Rivera tiene cabida en el PSOE</t>
  </si>
  <si>
    <t>https://pbs.twimg.com/media/DsdpImdXoAIEnei.jpg</t>
  </si>
  <si>
    <t>La Mancha</t>
  </si>
  <si>
    <t>Ecomarxista y senderista. Siempre quise ser pastor de árboles. Escribiendo y dibujando sobre brujas, duendes y otros mitos manchegos</t>
  </si>
  <si>
    <t>http://plumaroja-plumaroja.blogspot.com</t>
  </si>
  <si>
    <t>zapeando</t>
  </si>
  <si>
    <t>VÍDEO | "De la risa a la estupefacción": analizamos las graciosas caras de Albert Rivera escuchando en directo a Javier Maroto  #zapeando #zapeando1247</t>
  </si>
  <si>
    <t>http://atres.red/5hcht1</t>
  </si>
  <si>
    <t>Con @Frank_Blanco al frente, @NadalMiki @CristiPedroche, @ana_morgade @AnnaSimonMari y @quiquepeinado amenizan tus siestas. De L-V en @laSexta a las 15.45h.</t>
  </si>
  <si>
    <t>http://www.lasexta.com/programas/zapeando</t>
  </si>
  <si>
    <t>El chato de Móstoles</t>
  </si>
  <si>
    <t>Albert Rivera, dice grandes gilipoyeces.-Dice, que no se puede humillar, a jueces, fiscales, policia, guardia civil,y ejercito. Pero, le importa un pimiento, que se humille, a Trabajadoras y Trabajadores, Democratas.</t>
  </si>
  <si>
    <t>Ignacio, ha sido "Cosido ", por Pablo Casado y Albert Rivera.</t>
  </si>
  <si>
    <t>Indultos no, #EleccionesYa .</t>
  </si>
  <si>
    <t>https://www.elespanol.com/espana/politica/20181120/ciudadanos-saca-tramabus-sanchez-indultos-no-elecciones/354715424_0.html</t>
  </si>
  <si>
    <t>josé garcia gonzalez</t>
  </si>
  <si>
    <t>Albert Rivera: "Marchena pone la dignidad; Casado y Sánchez, la vergüenza</t>
  </si>
  <si>
    <t>Barcelona España Europa</t>
  </si>
  <si>
    <t>Separatistas: un grupo de personas unidas por una imagen errónea del pasado y el odio a sus vecinos El mal nacionalismo está basado en la desesperanza y el odio</t>
  </si>
  <si>
    <t>Juan Poz</t>
  </si>
  <si>
    <t>Les guste o no a los sociatas, la movida en torno al fallido Presidente del CGPJ solo favorece a quien siempre ha sido coherente respecto a lo que la democracia exige para su elección: Albert Rivera. Añádase lo de los aforamientos y el cambio de ley electoral y hace el pleno...</t>
  </si>
  <si>
    <t>Pozaforismo: Hablar por hablar no multiplica, resta. Proverbio castellano: Nadie es más que nadie.</t>
  </si>
  <si>
    <t>http://diariodeunartistadesencajado.blogspot.com.es/</t>
  </si>
  <si>
    <t>rokoten</t>
  </si>
  <si>
    <t>Albert Rivera: "Marchena pone la dignidad; Casado y Sánchez, la vergüenza" @elmundoes</t>
  </si>
  <si>
    <t>http://www.elmundo.es/espana/2018/11/20/5bf3e474e2704ec6568b4825.html</t>
  </si>
  <si>
    <t>I've done it</t>
  </si>
  <si>
    <t>Albert Rivera inicia una ofensiva en toda España para forzar al PSOE a definirse sobre los indultos. El silencio de Pedro Sánchez alienta el anhelo de C’s: "Se lo seguiremos preguntando durante toda la legislatura" #STOPIndultos</t>
  </si>
  <si>
    <t>vagu€o en INDRA</t>
  </si>
  <si>
    <t>#EllosNoVotanPorTí @JaviALacalle pero Albert Rivera y Gloria Bañeres sí en #BurgosCiudadAmable @CsBurgosCiudad. Las elecciones en Burgos ya no tienen emoción de censura. RT @Anfersantos: Quien vote a CIUDADANOS quiere que gobierne el PP.</t>
  </si>
  <si>
    <t>https://twitter.com/Anfersantos/status/1063781072016719872</t>
  </si>
  <si>
    <t xml:space="preserve">€$tafa, (España) </t>
  </si>
  <si>
    <t>Luis Bárcenas no me da sobr€s porque no pegué ni sello en Interior,soy Génovagazo #AparicioSOBREsospecha .PAROdia exPresidente de la Comi$ión de Interior.HUMOR</t>
  </si>
  <si>
    <t>http://quehacenlosdiputados.net</t>
  </si>
  <si>
    <t>@ppapanol</t>
  </si>
  <si>
    <t>El pacto de Albert Rivera y Manuel Valls se agrieta por los guiños a los socialistas | Cataluña</t>
  </si>
  <si>
    <t>http://page.is/ppapanol</t>
  </si>
  <si>
    <t>eldiario.es CLM</t>
  </si>
  <si>
    <t>Ábalos enmienda la plana a García-Page: Albert Rivera no tendría cabida en el PSOE en el que él se afilió</t>
  </si>
  <si>
    <t>https://www.eldiario.es/politica/Abalos-responde-Page-Rivera-PSOE_0_837816420.html</t>
  </si>
  <si>
    <t>Edición en Castilla-La Mancha de http://www.eldiario.es Periodismo independiente a pesar de todo.</t>
  </si>
  <si>
    <t>http://www.eldiario.es/clm/</t>
  </si>
  <si>
    <t>Albert Rivera impulsará su ley de reforma judicial aprovechando la renuncia de Marchena  Por @OscarGPrieto</t>
  </si>
  <si>
    <t>http://cadenaser.com/ser/2018/11/20/politica/1542720581_866377.html</t>
  </si>
  <si>
    <t>Raul Saavedra Lopez</t>
  </si>
  <si>
    <t>Las Rozas de Madrid, España</t>
  </si>
  <si>
    <t>Colaborador de Mundiario. Ingeniero Industrial. Expresidente de Premonor S.A y Premoin Liberal en lo económico y progresista en lo social.</t>
  </si>
  <si>
    <t>colmendoza</t>
  </si>
  <si>
    <t>Ojala ver algun dia a la mierda viviente de albert rivera como a ese pobre yonki rascando el yeso de la pared...</t>
  </si>
  <si>
    <t>Bilboko auzo pijo batetan</t>
  </si>
  <si>
    <t>Alma de sucio animal envuelta en cuchillas de afeitar, garagardo begiak</t>
  </si>
  <si>
    <t>Estado de sitio</t>
  </si>
  <si>
    <t>Antonio García Trevijano a CS, UPyD y VOX Albert Rivera, Rosa Díez y Santiago Abascal 📢 Democracy, ✔️ Libertad,</t>
  </si>
  <si>
    <t>https://goo.gl/U6tWs2?yiq61=2916371554</t>
  </si>
  <si>
    <t>Causas para su adopción: Cuando se produzca o pueda producirse una insurrección contra su integridad territorial que no pueda resolverse por otros medios.</t>
  </si>
  <si>
    <t>𝓟𝓻𝓸𝓽𝓸́𝓷 𝓡𝓮𝓹𝓾́𝓫𝓵𝓲𝓬𝓸</t>
  </si>
  <si>
    <t>Teresa Rodríguez llama "Albert Primo de Rivera" a Albert Rivera</t>
  </si>
  <si>
    <t>https://www.huffingtonpost.es/2018/11/19/teresa-rodriguez-llama-albert-primo-de-rivera-a-albert-rivera_a_23594091/?ncid=other_twitter_cooo9wqtham&amp;utm_campaign=share_twitter</t>
  </si>
  <si>
    <t>Nací en el país mas corrupto de Europa, ¿sabrías decirme que país es? No, no es Venezuela, digo de Europa.</t>
  </si>
  <si>
    <t>𝓡𝓮𝓹𝓾́𝓫𝓵𝓲𝓬𝓪 𝓭𝓮 𝓹𝓮𝓻𝓼𝓸𝓷𝓪𝓼 𝓲𝓷𝓽𝓮𝓰𝓻𝓪𝓼 𝓸 𝓼𝓮𝓻𝓪́ 𝓲𝓶𝓹𝓸𝓼𝓲𝓫𝓵𝓮 𝓼𝓸𝓵𝓾𝓬𝓲𝓸𝓷𝓪𝓻 𝓷𝓲𝓷𝓰𝓾𝓷𝓸 𝓭𝓮 𝓵𝓸𝓼 𝓹𝓻𝓸𝓫𝓵𝓮𝓶𝓪𝓼, 𝔂𝓪 𝓼𝓮𝓪𝓷 𝓱𝓾𝓶𝓪𝓷𝓸𝓼, 𝓮𝓬𝓸𝓷𝓸́𝓶𝓲𝓬𝓸𝓼, 𝓶𝓮𝓭𝓲𝓸𝓪𝓶𝓫𝓲𝓮𝓷𝓽𝓪𝓵𝓮𝓼, 𝓼𝓸𝓬𝓲𝓪𝓵𝓮𝓼 𝓸 𝓹𝓸𝓵𝓲́𝓽𝓲𝓬𝓸𝓼.</t>
  </si>
  <si>
    <t>Eres un listillo y espero que no consigas ascender. Albert Rivera: "Marchena pone la dignidad; Casado y Sánchez, la vergüenza"  vía @elmundoes</t>
  </si>
  <si>
    <t>El INFANTILISMO de ALBERT RIVERA La LEY de MICHELS 🔉 ORGANIZAR LAS INTELIGENCIAS, 🔗 Mandato imperativo,</t>
  </si>
  <si>
    <t>https://goo.gl/GFnpdY?drs42=7412613602</t>
  </si>
  <si>
    <t>https://www.elindependiente.com/politica/2018/11/20/rivera-exige-disculpas-pp-psoe-pacto-la-verguenza-del-cppg/</t>
  </si>
  <si>
    <t>El juez Marchena pone la dignidad con su renuncia; Casado y Sánchez, la vergüenza.</t>
  </si>
  <si>
    <t>#Ciudadanos #YouTube Nuevo vídeo de CiudadanosCs // Albert Rivera. Reunión de Grupo Parlamentario</t>
  </si>
  <si>
    <t>https://www.youtube.com/watch?v=GKN2W6ysdlQ</t>
  </si>
  <si>
    <t>"Albert Rivera devorando al PP" Francisco de Goya Óleo sobre lienzo.</t>
  </si>
  <si>
    <t>https://pbs.twimg.com/media/DsdK8ZMX4AA3Jza.jpg</t>
  </si>
  <si>
    <t>Teror. Isla de la Gran Canaria</t>
  </si>
  <si>
    <t>Únicamente puede ser canario quien sepa utilizar en una frase la palabra alongarse</t>
  </si>
  <si>
    <t>Me imagino a Albert Rivera mordiéndose los dedos to nerviosito hoy por no poder tuitear #VivaFranco en el #20N hoy, para no quedar mal de cara a la galería 😂😂😂</t>
  </si>
  <si>
    <t>🎅 xrsmas-borgar 🎅</t>
  </si>
  <si>
    <t>PDR SNCHZ: ... Albert Rivera: LO VEN, ES QUE ES UNA VERGÜENZA ESTO ES LA MARCA DEL SANCHISMO ES UNA DESHONRA PARA ESPAÑA QUEREMOS VOTAR DEJE DE OKUPAR LA MONCLOA CON LOS SEPARATISTAS</t>
  </si>
  <si>
    <t>Biblioteca de Humanidades Joàn</t>
  </si>
  <si>
    <t>MAYONNAISE IS SPICY Life coach de como joderte la vida.</t>
  </si>
  <si>
    <t>http://stoned-zombie.tumblr.com/</t>
  </si>
  <si>
    <t>unaokupadelbdm</t>
  </si>
  <si>
    <t>Suso està como Albert Rivera. Se veían ganadores y ahora se ven que no pintan mucho. Bueno,uno más que otro.</t>
  </si>
  <si>
    <t>ultimamente me aburre casi todo.</t>
  </si>
  <si>
    <t>Normi</t>
  </si>
  <si>
    <t>#LaVidaModerna es Albert Rivera recogiendo su "Grammy"</t>
  </si>
  <si>
    <t>Sensualidad entre dos rebanadas de pan. Si vienes a joder, te iras jodido hermoso mio. Traedme conguitos a granel please.</t>
  </si>
  <si>
    <t>Esta mañana Albert Rivera ha conseguido 5 grammys. De esto no te informaran los medios españoles.</t>
  </si>
  <si>
    <t>El Imparcial</t>
  </si>
  <si>
    <t>Albert Rivera: "Algunos políticos denigran la Justicia"</t>
  </si>
  <si>
    <t>https://www.elimparcial.es/noticia/195833/nacional/albert-rivera:-algunos-politicos-denigran-la-justicia.html</t>
  </si>
  <si>
    <t>Diario digital de información general. También en Facebook http://goo.gl/Y76CLM y en YouTube http://goo.gl/JbKp1r</t>
  </si>
  <si>
    <t>http://www.elimparcial.es</t>
  </si>
  <si>
    <t>Estefany</t>
  </si>
  <si>
    <t>no puedo yo arreglar mis problemas va a poder hacerlo Albert Rivera que además es gilipoll</t>
  </si>
  <si>
    <t>Mulet</t>
  </si>
  <si>
    <t>Albert Rivera al ver que no hay equipos españoles en LEC:</t>
  </si>
  <si>
    <t>https://pbs.twimg.com/media/Dsc9ss7X4AAcJd5.jpg</t>
  </si>
  <si>
    <t>Inca, España</t>
  </si>
  <si>
    <t>Spanish Journalist wannabe. Mallorquí. 미구엘이 나를 스토킹하는 것을 멈춘다.</t>
  </si>
  <si>
    <t>Teresa Rodríguez llama "Albert Primo de Rivera" a Albert Rivera  Fantastica verdad y reponsable de dar apoyo a M.Rajoy, hoy caso Villarejo y Cosidó verguenza de gente!</t>
  </si>
  <si>
    <t>https://www.huffingtonpost.es/2018/11/19/teresa-rodriguez-llama-albert-primo-de-rivera-a-albert-rivera_a_23594091/</t>
  </si>
  <si>
    <t>Arwen</t>
  </si>
  <si>
    <t>Contundente respuesta de Ábalos a Page por el guiño que hizo a Albert Rivera - El Digital Castilla La Mancha</t>
  </si>
  <si>
    <t>https://www.eldigitalcastillalamancha.es/actualidad/824864035/Contundente-respuesta-de-Abalos-a-Page-por-el-guino-que-hizo-a-Albert-Rivera.html</t>
  </si>
  <si>
    <t>CRISTIANA. Memoria, Dignidad y Justicia! SI a la vida! Declaración del comunismo como crimen contra la humanidad. Del PP. Insulto= bloqueo. NO VOX</t>
  </si>
  <si>
    <t>Albert Rivera se pasa al flamenco para conseguirse unos grammys  vía @eljueves</t>
  </si>
  <si>
    <t>Teresa Rodríguez: "Albert Rivera Primo... Albert Primo de Rivera" La candidata de Adelante Andalucía, a Ciudadanos: "Insultar a los andaluces es decir que no hay que regalarnos el pescado, que hay que enseñarnos a pescar"</t>
  </si>
  <si>
    <t>https://www.elplural.com/politica/teresa-rodriguez-albert-rivera-primo-albert-primo-de-rivera_206666102</t>
  </si>
  <si>
    <t>Cristian Alvarez de Cienfuegos Gimenez</t>
  </si>
  <si>
    <t>Ante la indignación de todos los españoles, Casado se ve obligado a suspender el proceso de renovación del CGPJ y pedirá un cambio en el sistema de elección acorde a lo demandado por Albert Rivera.</t>
  </si>
  <si>
    <t>Sebastian Sanchez</t>
  </si>
  <si>
    <t>El 20-N de Susanna Griso: entrevista a Rivera i connexió al Valle de los Caídos via @elnacionalcat</t>
  </si>
  <si>
    <t>Pepe Tron. República i EFTA,Tram 1</t>
  </si>
  <si>
    <t>Albert Rivera se pasa al flamenco para conseguirse unos grammys  via @eljueves</t>
  </si>
  <si>
    <t>Residència definitiva a Sant Esteve de les Roures, Terres de l'Ebre.</t>
  </si>
  <si>
    <t>http://shadowban.eu Teniu per segur, que si veig que al vostre perfil esta escrit que sou CataÑols o Cagarnians, no us seguiré. Bloc. Ubicació Aspaña? Jo no.</t>
  </si>
  <si>
    <t>http://s215.photobucket.com/user/falcata_cota35/library/?sort=9&amp;page=1</t>
  </si>
  <si>
    <t>Carmentea</t>
  </si>
  <si>
    <t>ALBERT RIVERA!!"LA VELETA"QUE HA PACTADO CON TODOS:CON PPSOE, AHORA CON MANUEL VALLS!!AL SOL QUE MÁS CALIENTE!!COMO CASADO,LOCOS X LA MONCLOA!!ENGAÑANDO CON PROMESAS QUE NUNCA CUMPLIERON!!PERO LO QUE SEA EN FAVOR DEL PUEBLO NO LO APOYAN!!PQ??EL PUEBLO ES PARA EXPRIMIRLO,VERDAD??</t>
  </si>
  <si>
    <t>Aunque el león sea el rey de la selva, la que caza es la leona.....</t>
  </si>
  <si>
    <t>Bolskan</t>
  </si>
  <si>
    <t>Albert Rivera: "Marchena pone la dignidad; Casado y Sánchez, la vergüenza"  vía @elmundoes Seria bueno que alguien aconsejara al perro del hortelano que no se suba tan arriba, que de ejemplar tiene poco y bien sabe que si suma un poco mas, problemas.</t>
  </si>
  <si>
    <t>Jmiguel Corvera</t>
  </si>
  <si>
    <t>Sin embargo, a Encarna le ha salido competencia por quedarse con el cadáver: Albert Rivera, quien lo ha solicitado para incinerarlo: “Lo tenemos todo preparado para sus cenizas: un espejo y un billete enrollao.</t>
  </si>
  <si>
    <t>https://pbs.twimg.com/media/DscvoYkW0AAaQdZ.jpg</t>
  </si>
  <si>
    <t>Aspirante a ciudadano libre .</t>
  </si>
  <si>
    <t>Dice el ultraderechista Albert Rivera que Teresa Rodríguez fue anoche la más floja del debate. Jajajajaja se ve que ya ha visto que su candidato no ha ganado en ninguna votación y está escocido el mandarino.</t>
  </si>
  <si>
    <t>https://pbs.twimg.com/media/DscvjRBW0AETemI.jpg</t>
  </si>
  <si>
    <t>PLSD</t>
  </si>
  <si>
    <t>El pacto de Albert Rivera y Manuel Valls se agrieta por los socialistas?Valls basa su estrategia en definirse como un candidato independiente de Cs y en ese rol una de sus prioridades es pactar con el PSOE. Una propuesta que rechazan Rivera y su equipo?</t>
  </si>
  <si>
    <t>http://a.msn.com/01/es-es/BBPTvWt?ocid=st</t>
  </si>
  <si>
    <t>Fundado en Diciembre de 2011</t>
  </si>
  <si>
    <t>http://www.plsd.es</t>
  </si>
  <si>
    <t>A.</t>
  </si>
  <si>
    <t>Albert Rivera felicitando a La Casa de Papel por ganar el Emmy Internacional a Mejor Serie Dramática, cuando la ficción aborda una visión totalmente contraria a su mensaje político. Se ve que no entendió el significado del Bella Ciao...</t>
  </si>
  <si>
    <t>26. Iba para chico decente pero me quedé a medias. Periodista y comunicador audiovisual. Hago lo que me dejan. Un fail con patas. No se lo pierdan.</t>
  </si>
  <si>
    <t>http://reachingthecstasy.tumblr.com/</t>
  </si>
  <si>
    <t>efejota✌</t>
  </si>
  <si>
    <t>En mi pueblo, un tio como este tiene un nombre : Chaquetero¡ El pacto de Albert Rivera y Manuel Valls se agrieta por los guiños a los socialistas  via @elmundoes</t>
  </si>
  <si>
    <t xml:space="preserve"> sevilla</t>
  </si>
  <si>
    <t>Marino Mercante, Ingeniero Cervecero. Fan del populismo transversal de Errejón.✌ Asqueado de los trapos de colores¡ INDIGNADO CON EL CASOPLON!</t>
  </si>
  <si>
    <t>Candela De los Dolores de #Tabarnia +=+=</t>
  </si>
  <si>
    <t>Mi balcon jaranero en Barcelona</t>
  </si>
  <si>
    <t>OJU! una red social mas y me corto las venas . De Cádiz Cádiz ,abogada y amante del Flamenco Fusion. en #TABARNIA y Ciudadana🍊🍊</t>
  </si>
  <si>
    <t>Lorenzo Pérez Rojo</t>
  </si>
  <si>
    <t>Manuel Valls: "Hago un llamamiento a Pedro Sánchez, al PSOE, al PSC, a mi familia política. Tienen que unirse a mi plataforma". ¿Y de quién es candidato el ex primer ministro francés? De Albert Rivera y de Ciudadanos. Pero luego quieren combatir el independentismo...</t>
  </si>
  <si>
    <t>https://pbs.twimg.com/media/DscrS9fWwAEru91.jpg</t>
  </si>
  <si>
    <t>Soto del Real, España</t>
  </si>
  <si>
    <t>Concejal y Portavoz Adjunto del @PPopular en el Ayuntamiento de #SotodelReal, Puerta de Entrada al PN Sierra de Guadarrama</t>
  </si>
  <si>
    <t>https://www.pp.es</t>
  </si>
  <si>
    <t>gabricaxV5.4</t>
  </si>
  <si>
    <t>Pues desafío a cualquier partido político a que me envíe propaganda sin mi consentimiento. Habrán conseguido que no les vote. Así de claro: @sanchecastejon @Pablo_Iglesias_ @agarzon A Pablo Casado, Albert Rivera y a Santiago Abascal no les digo nada por razones obvias.</t>
  </si>
  <si>
    <t>Nací y vivo en Madrid Y cada vez tengo menos que decir. Esperando un amanecer de revolución que no termina de llegar. Maldita sea mi estampa.</t>
  </si>
  <si>
    <t>Carlos M. Mira</t>
  </si>
  <si>
    <t>En uno de sus pocos momentos de brillantez televisiva, Pablo Iglesias dijo que Albert Rivera no era ni de izquierdas ni de derechas. Que Albert Rivera era de lo que hiciera falta. Una definición bastante acorde a nuestros tiempos y perfectamente aplicable al caso Dolera</t>
  </si>
  <si>
    <t xml:space="preserve">Andalucía </t>
  </si>
  <si>
    <t>Periodista o algo así. Me gusta ser mediocre, duermo más tranquilo. Socio 28.071 del @Atleti Me puedes leer de vez en cuando en @ImagActualidad</t>
  </si>
  <si>
    <t>Vicent Ramón Solé</t>
  </si>
  <si>
    <t>Morbix</t>
  </si>
  <si>
    <t>¿Te imaginas que cada vez que El Español va a nombrar a Pablo Casado, Bertín Osborne, Xabier G. Albiol o Albert Rivera pone delante lo de "el machista..."? RT @elespanolcom: La feminista Leticia Dolera reconoce que despidió a Aina Clotet por estar embarazada</t>
  </si>
  <si>
    <t>https://twitter.com/elespanolcom/status/1064543823517356032
https://www.elespanol.com/cultura/series/20181119/feminista-leticia-dolera-reconoce-aina-clotet-embarazada/354465062_0.html</t>
  </si>
  <si>
    <t>Hacer el teorema de Pitágoras con las piernas para la fotito de Instagram or die. Hago viñetas. https://www.instagram.com/morbixx/</t>
  </si>
  <si>
    <t>http://morbixx.tumblr.com/</t>
  </si>
  <si>
    <t>Albert Rivera en VI Escuela de Verano DENAES 2012 📢 AZAR Y CONTINUIDAD,</t>
  </si>
  <si>
    <t>https://youtu.be/V9YYQDqha-Q?uqf82=7301336258</t>
  </si>
  <si>
    <t>Felipe</t>
  </si>
  <si>
    <t>Ábalos responde a García-Page que Albert Rivera no tendría cabida en el PSOE en el que él se afilió  vía @Lanzadigital</t>
  </si>
  <si>
    <t>https://www.lanzadigital.com/castilla-la-mancha/abalos-responde-a-garcia-page-que-albert-rivera-no-tendria-cabida-en-el-psoe-en-el-que-el-se-afilio/</t>
  </si>
  <si>
    <t>Españistán</t>
  </si>
  <si>
    <t>La revolución se lleva en el corazón no en la boca para vivir de ella (Che)</t>
  </si>
  <si>
    <t>http://elcuadernodeunizquierdista.blogspot.com/</t>
  </si>
  <si>
    <t>Albert Rivera responde en 'Espejo Público' al calificativo que le dedicó Teresa Rodríguez: "Qué original..."</t>
  </si>
  <si>
    <t>https://www.huffingtonpost.es/2018/11/20/albert-rivera-responde-en-espejo-publico-antena-3-al-calificativo-que-le-dedico-teresa-rodriguez-que-original_a_23594456/</t>
  </si>
  <si>
    <t>Δ FNC TheDavidδelta Δ @BGW</t>
  </si>
  <si>
    <t>A Albert Rivera le gustan los campeones difíciles porque tienen 3 rayas de dificultad</t>
  </si>
  <si>
    <t>18♂ | PC Gamer | Leninista ☭★ | Fanático de los Esports y amante de la historia | #FNCWIN | Che &amp; Culé | 22/03/14 | 17/08/15 | 25/04/16</t>
  </si>
  <si>
    <t>https://www.instant-gaming.com/igr/TheDavidDelta/</t>
  </si>
  <si>
    <t>El 20-N de Susanna Griso: entrevista a Rivera y conexión al Valle de los Caídos Vía @En_Blau_es</t>
  </si>
  <si>
    <t>https://www.elnacional.cat/enblau/es/television/susanna-griso-albert-rivera-luis-alfonso-borbon_326550_102.html</t>
  </si>
  <si>
    <t>El 20-N de Susanna Griso: entrevista a Rivera i connexió al Valle de los Caídos via @en_blau</t>
  </si>
  <si>
    <t>https://www.elnacional.cat/enblau/ca/televisio/susanna-griso-albert-rivera-luis-alfonso-borbon_326550_102.html</t>
  </si>
  <si>
    <t>marcvillanueva</t>
  </si>
  <si>
    <t>El 20-N de Susanna Griso: entrevista a Rivera y conexión al Valle de los Caídos</t>
  </si>
  <si>
    <t>Avalancha de comentarios por la manera que ha elegido Teresa Rodríguez para referirse a Albert Rivera en #DebateCanalSur</t>
  </si>
  <si>
    <t>Albert Rivera insta a #PPSOE a romper el pacto del Poder Judicial y voten la ley que propone Cs para que los jueces elijan a 12 vocales de los 20 del Consejo del Poder Judicial mientras los 8 restantes seguirían siendo elegidos por el Congreso y el Senado.</t>
  </si>
  <si>
    <t>https://elpais.com/politica/2018/11/20/actualidad/1542713687_705619.html</t>
  </si>
  <si>
    <t>PLENO SENADO</t>
  </si>
  <si>
    <t>http://dlvr.it/QrgdHd</t>
  </si>
  <si>
    <t>https://pbs.twimg.com/media/DsccrdFU8AE6CE3.jpg</t>
  </si>
  <si>
    <t>Información NO OFICIAL del Senado de España. Sigue también a @PlenoMunicipal @PlenoProvincial @PlenoAutonomico @PlenoSenado @PlenoCongreso @PlenoEuropeo</t>
  </si>
  <si>
    <t>Ricardo Miranda-Naón</t>
  </si>
  <si>
    <t>El pacto de Albert Rivera y Manuel Valls se agrieta por los guiños a los socialistas  vía @elmundoes Creo que lo mejor para Don Manolo Valls será seguir perdiendo elecciones en Francia...</t>
  </si>
  <si>
    <t>Persona mayor.Español por decisión adulta. Entre tener razón y ser feliz elijo ser feliz.</t>
  </si>
  <si>
    <t>Lanzadigital</t>
  </si>
  <si>
    <t>Ábalos responde a García-Page que Albert Rivera no tendría cabida en el PSOE en el que él se afilió</t>
  </si>
  <si>
    <t>Información general de Ciudad Real con noticias también de Castilla-La Mancha, nacionales e internacionales</t>
  </si>
  <si>
    <t>http://www.lanzadigital.com</t>
  </si>
  <si>
    <t>Rocío Romero</t>
  </si>
  <si>
    <t>Albert Rivera: parecidos razonables.</t>
  </si>
  <si>
    <t>https://pbs.twimg.com/media/DscYld9WoAAzscI.jpg</t>
  </si>
  <si>
    <t>San Esteban de Gormaz (Soria)</t>
  </si>
  <si>
    <t>La criatura</t>
  </si>
  <si>
    <t>Cualquier mal pensado en este país diría que todo está maquinado para que Albert Rivera sea el próximo inquilino de la Moncloa: los poderes, las grandes empresas ...el Ibex 35...etc</t>
  </si>
  <si>
    <t>Two Sisters</t>
  </si>
  <si>
    <t>En Agosto me encanta el invierno y en Enero la primavera ...Andaluz que no tiene gracia ni duerme siesta</t>
  </si>
  <si>
    <t>MJ 🇪🇸🇪🇸🇪🇸🇪🇸🇪🇸🇪🇸</t>
  </si>
  <si>
    <t>Albert Rivera: "A Rajoy y a Sánchez ni investidura, ni pacto, ni Gobierno, ni ministros"  vía @20m</t>
  </si>
  <si>
    <t>https://www.20minutos.es/noticia/2630599/0/entrevista/albert-rivera/elecciones-20d/?utm_source=twitter.com&amp;utm_medium=socialshare&amp;utm_campaign=mobile_amp</t>
  </si>
  <si>
    <t xml:space="preserve">Cantabria </t>
  </si>
  <si>
    <t>si me engañas una vez la culpa es tuya si me vuelves a engañar sera mía.</t>
  </si>
  <si>
    <t>LA SEXTA TV | Albert Rivera, en diciembre de 2015: "No voy a apoyar un Gobierno presidido por Pedro Sánchez" después firmo un acuerdo con 200 propuestas pactadas</t>
  </si>
  <si>
    <t>https://www.lasexta.com/programas/el-objetivo/maldita-hemeroteca/albert-rivera-diciembre-2015-voy-apoyar-gobierno-presidido-pedro-sanchez_201602285723ac7d4beb28d446fff85a.html</t>
  </si>
  <si>
    <t>Rivera: "Apoyaré a PP o PSOE si consiguen la abstención de otro grupo grande"  vía @telecincoes</t>
  </si>
  <si>
    <t>https://www.telecinco.es/elprogramadeanarosa/entrevistas/albert-rivera-apoyare-pp-psoe-si-son-capaces-conseguir-abstencion-otro-grupo-grande_0_2119425044.html</t>
  </si>
  <si>
    <t>Carrete de la Creme</t>
  </si>
  <si>
    <t>Diciendo dos verdades: 1. Que Albert Rivera es un primo. 2. Que es más facha que los fachas. Gracias Teresa por tanto 😍 RT @malgastarte: Teresa Rodríguez: “Albert Rivera Primo, Albert Primo de Rivera” hablando de cuando el líder de Cs dijo que a los andaluces hay que enseñarles a pescar en vez de regalarles el pescao #DebateCanalSur</t>
  </si>
  <si>
    <t>https://twitter.com/malgastarte/status/1064680941145198593</t>
  </si>
  <si>
    <t>pic.twitter.com/CKia16v7Hc</t>
  </si>
  <si>
    <t>Poca cosa.</t>
  </si>
  <si>
    <t>http://Instagram.com/martosdiego</t>
  </si>
  <si>
    <t>Pido a Sánchez y Casado que tiren a la basura su pacto de la vergüenza para repartirse a los jueces, dejen de tomar a los españoles por tontos y apoyen nuestra reforma para que a los vocales del CGPJ los elijan los jueces y no los políticos. #MarchenaNOESP</t>
  </si>
  <si>
    <t>antonio jesus ruano</t>
  </si>
  <si>
    <t>El pacto de Albert Rivera y Manuel Valls se agrieta por los socialistas</t>
  </si>
  <si>
    <t>publicitario,agricultor</t>
  </si>
  <si>
    <t>💦Aguas Neutrales</t>
  </si>
  <si>
    <t>La bofetada verbal de Risto Mejide a Albert Rivera: "Gracias por la difusión"</t>
  </si>
  <si>
    <t>https://www.huffingtonpost.es/2018/11/16/la-bofetada-verbal-de-risto-mejide-a-albert-rivera-gracias-por-la-difusion_a_23591455/</t>
  </si>
  <si>
    <t>https://pbs.twimg.com/media/DscKsFDX4AAFCtX.jpg</t>
  </si>
  <si>
    <t>El poder reside en las cosas que nos unen, no en las que nos separan ¡Bienvenido a @AguasNeutrales!</t>
  </si>
  <si>
    <t>El polifaxa psicópata de VOX hablando de los posibles trastornos mentales del presidente del gobierno. Como si Poli Díaz llama yonki a Albert Rivera...</t>
  </si>
  <si>
    <t>https://pbs.twimg.com/media/DscKyG3XcAEq3dp.jpg</t>
  </si>
  <si>
    <t>Parla</t>
  </si>
  <si>
    <t>Felipe González es amigo mío.</t>
  </si>
  <si>
    <t>https://ift.tt/2S4INF7</t>
  </si>
  <si>
    <t>Vulgaris in extremis</t>
  </si>
  <si>
    <t>Vals es un cartucho quemado y Rivera no sabe lo que hace. Menuda alianza, se les agrietó empezando por el trasero y ya se les está saliendo la kk.</t>
  </si>
  <si>
    <t>Kasper Juul</t>
  </si>
  <si>
    <t>"Insultar a los andaluces es venir a Andalucía a decir que no hay que regalarnos el pescado, que hay que enseñarnos a pescar. Y eso lo dijo Albert Rivera Primo... Albert Primo de Rivera". Si fuese andaluz votaría a Teresa Rodríguez (@TeresaRodr_) sin dudarlo. #AdelanteAndalucía</t>
  </si>
  <si>
    <t>pic.twitter.com/xGiZ6OpCHr</t>
  </si>
  <si>
    <t>Some men change their party for the sake of their principles. Others their principles for the sake of their party.</t>
  </si>
  <si>
    <t>♀ Ž͗̈́etainex ♀</t>
  </si>
  <si>
    <t>¿A cuántos falangistas ha abrazado hoy Albert Rivera?</t>
  </si>
  <si>
    <t>Zihuatanejo</t>
  </si>
  <si>
    <t>Ironía como modus vivendi, befa como modus operandi y atrabiliario pero desde el animus iocandi.</t>
  </si>
  <si>
    <t>https://twitter.com/Zetainexxx/favorites</t>
  </si>
  <si>
    <t>jose silva</t>
  </si>
  <si>
    <t>https://pbs.twimg.com/media/DscIgz7WwAQ0yUl.jpg</t>
  </si>
  <si>
    <t>JoseJuan L Cabezuelo</t>
  </si>
  <si>
    <t>Contundente respuesta de Ábalos a Page por el guiño que hizo a Albert Rivera  vía @eldigitalCLM</t>
  </si>
  <si>
    <t>Albacete</t>
  </si>
  <si>
    <t>Muchos años en el camino, aprendiendo a ser maestro, algunas etapas en la actividad política. Más preguntas que respuestas...Un pesimista que no se resigna.</t>
  </si>
  <si>
    <t>Eldiadigital.es</t>
  </si>
  <si>
    <t>Ábalos responde a Page que Albert Rivera no tendría cabida en el PSOE en el que él se afilió</t>
  </si>
  <si>
    <t>http://ow.ly/UyIe30mGlu7</t>
  </si>
  <si>
    <t>Periódico digital independiente de información general</t>
  </si>
  <si>
    <t>http://www.eldiadigital.es</t>
  </si>
  <si>
    <t>jose antonio gonzal</t>
  </si>
  <si>
    <t>El pacto de Albert Rivera y Manuel Valls se agrieta por los guiños a los socialistas</t>
  </si>
  <si>
    <t>En un momento clave para la democracia española, la renuncia de Marchena a participar del mangoneo de PP-PSOE en el Poder Judicial es un destello de dignidad. ¿De verdad no les da vergüenza a Casado y Sánchez el espectáculo que están dando? #MarchenaNOESP</t>
  </si>
  <si>
    <t>VICENTE RAMIREZ</t>
  </si>
  <si>
    <t>RADIO CORAZÓN VALENCIA "NOTICIAS": Justicia: Albert Rivera pide a Sánchez y Casado qu...</t>
  </si>
  <si>
    <t>https://radiocorazonvalencianoticias.blogspot.com/2018/11/justicia-albert-rivera-pide-sanchez-y.html?spref=tw</t>
  </si>
  <si>
    <t>http://radiocorazondigital.blogspot.com.es/</t>
  </si>
  <si>
    <t>#VÍDEO La candidata de @AdelanteAND, @TeresaRodr_ cargó con dureza contra Ciudadanos durante el debate de Canal Sur</t>
  </si>
  <si>
    <t>Letrado Extraño</t>
  </si>
  <si>
    <t>Perdón, queda mejor así: Leticia Dolera, del feminismo la Albert Rivera. Así si.</t>
  </si>
  <si>
    <t>Pulsa la alarma-</t>
  </si>
  <si>
    <t>Abogado fuera de orden. Laboralista empedernido. Si no te gusta lo que digo, espera a que me importe.</t>
  </si>
  <si>
    <t>https://www.youtube.com/watch?v=X_tKzZiSJY4</t>
  </si>
  <si>
    <t>EL DIGITAL CLM</t>
  </si>
  <si>
    <t>Contundente respuesta de Ábalos a Page por el guiño que hizo a Albert Rivera</t>
  </si>
  <si>
    <t>El periódico digital más influyente de Castilla-La Mancha. Actualidad, opinión, deportes y mucho más.</t>
  </si>
  <si>
    <t>http://www.eldigitalcastillalamancha.es/</t>
  </si>
  <si>
    <t>El pacto de Albert Rivera y Manuel Valls se agrieta por los guiños a los socialistas Les digo a ambos que, su proyecto, choca con lo que planteamos los socialistas. No estamos por violentar la convivencia ni el separatismo, sea el que sea🤗  vía @elmundoes</t>
  </si>
  <si>
    <t>Albert Rivera en VI Escuela de Verano DENAES 2012 🔉 EL MOMENTO,  UA #Contraataque</t>
  </si>
  <si>
    <t>https://youtu.be/V9YYQDqha-Q?iec24=1846833360</t>
  </si>
  <si>
    <t>Albert Rivera en VI Escuela de Verano DENAES 2012 🔉 EL MOMENTO,</t>
  </si>
  <si>
    <t>Álvaro Carvajal</t>
  </si>
  <si>
    <t>Albert Rivera con Valls, como Pablo Iglesias con Carmena.</t>
  </si>
  <si>
    <t>Periodista de EL MUNDO • 👌🏼 •</t>
  </si>
  <si>
    <t>http://www.elmundo.es/social/usuarios/alvaro_carvajal/</t>
  </si>
  <si>
    <t>Julian Alberto Vivar</t>
  </si>
  <si>
    <t>Para Albert Rivera y Casado el problema que les acucia en sus casas en sus familias en sus amigos en su copeteo, todo, todo, todo lo de sus vidas es culpa de Sánchez jajaja ¿De verdad está gente puede gobernarnos, si nos hacen descojonar cada vez que abren la boca?</t>
  </si>
  <si>
    <t>Articulista, cronista político-social</t>
  </si>
  <si>
    <t>Eres una Mamarracha</t>
  </si>
  <si>
    <t>Este fascismo 2.0 no mola nada #Dempeus</t>
  </si>
  <si>
    <t>http://instagram.com/eresunamamarracha</t>
  </si>
  <si>
    <t>Risitas</t>
  </si>
  <si>
    <t>Me encanta entrar al perfil de Albert Rivera. Hay tanto troll creando fake News contra el. Se creen q pueden manipular a alguien. En fin...</t>
  </si>
  <si>
    <t>txetxu1954</t>
  </si>
  <si>
    <t>Burgos</t>
  </si>
  <si>
    <t>Jubilado. Ex Maestro. Afiliado de UGT y militante de un PSOE de compañeros, por lo tanto luchando para conseguirlo. Nada de barones ni mierda que se le parezca</t>
  </si>
  <si>
    <t>http://tallercitatxetxu.blogspot.com/</t>
  </si>
  <si>
    <t>x</t>
  </si>
  <si>
    <t>El 20 de noviembre de 1936 murió José Antonio Primo de Rivera. El 20 de noviembre de 1975 murió Francisco Franco de Bahamonde. El 20 de noviembre de 2014 murió la Cayetana de Alba. Creo que en 2053 de toca o a Santiago Abascal o Albert Rivera.</t>
  </si>
  <si>
    <t>a dins sa pell</t>
  </si>
  <si>
    <t>m'és igual la mar infinita navegant a dins sa fosca</t>
  </si>
  <si>
    <t>Albert Rivera responde en 'Espejo Público' (Antena 3) al calificativo que le dedicó Teresa Rodríguez: "Qué original..."</t>
  </si>
  <si>
    <t>http://dlvr.it/Qrg76G</t>
  </si>
  <si>
    <t>https://pbs.twimg.com/media/Dsb4hSVV4AAJAv6.jpg</t>
  </si>
  <si>
    <t>Albert Rivera (C's) condenando el franquismo  vía @YouTube PARA LOS TORRA RUFIANES PODEMITAS, EN FIN POPULISTAS EN GENERAL QUE DISTORSIONAN LA REALIDAD Y ENGAÑAN! @ccoocatalunya @tv3cat @elsmatins @324cat @rac1 @CatalunyaRadio @parlamentcat @diariARA</t>
  </si>
  <si>
    <t>https://youtu.be/dV8LtyCaghk</t>
  </si>
  <si>
    <t>Jesús Arce</t>
  </si>
  <si>
    <t>El pacto de Albert Rivera y Manuel Valls se agrieta por los socialistas  vía @elmundoes</t>
  </si>
  <si>
    <t>Nacido para no aceptar las cosas tal como nos dicen que son. No estoy de acuerdo ni conmigo mismo.</t>
  </si>
  <si>
    <t>pipan</t>
  </si>
  <si>
    <t>Debería hacer una lista de políticos que han llamado a Albert Rivera falangista en sede parlamentaria. La encabeza el orador preferido de Twitter, Aitor Esteban.</t>
  </si>
  <si>
    <t>Dios bendiga a España</t>
  </si>
  <si>
    <t>Mi enhorabuena a todo el equipo de #LaCasadePapel por este gran logro: primera serie española en ganar un Emmy Internacional. Otro éxito para una serie extraordinaria, que está haciendo historia y elevando el prestigio de nuestra cultura. 👏🏻👏🏻👏🏻</t>
  </si>
  <si>
    <t>https://goo.gl/z1M2k2</t>
  </si>
  <si>
    <t>http://www.huffingtonpost.es/2018/11/20/albert-rivera-responde-en-espejo-publico-antena-3-al-calificativo-que-le-dedico-teresa-rodriguez-que-original_a_23594456/</t>
  </si>
  <si>
    <t>Laura Rodri 🇪🇦🇪🇺♿</t>
  </si>
  <si>
    <t>El pacto de Albert Rivera y Manuel Valls se agrieta por los socialistas Valls no sabe que el PSC es tan independentista como los que más  vía @elmundoes</t>
  </si>
  <si>
    <t>en el Mundo</t>
  </si>
  <si>
    <t>Soy ciudadana del Mundo, detesto las injusticias, en política no soy ni d derechas ni d izquierdas, busco bienestar d todos ciudadanos. Me gustan bellas artes</t>
  </si>
  <si>
    <t>http://www.p.com</t>
  </si>
  <si>
    <t>el_uron</t>
  </si>
  <si>
    <t>Pero q cretino, q cínico y q hipócrita es Albert Rivera. Acaba poner a parir al PP diciendo q es una vergüenza de partido por el tema del reparto del CGPJ, y por el otro lado sueña con formar Gobierno con ellos en Andalucía.</t>
  </si>
  <si>
    <t>Manuel Montero</t>
  </si>
  <si>
    <t>Para master class buena, la que acaba de dar de demagogia Albert Rivera en Antena 3.</t>
  </si>
  <si>
    <t>Salamanca</t>
  </si>
  <si>
    <t>Papá de Noah * Abogado * Alcalde de Serradilla del Arroyo * Director de @monteromartos * a la siniestra * nescencia necat *</t>
  </si>
  <si>
    <t>http://www.monteromartos.com</t>
  </si>
  <si>
    <t>Resistir</t>
  </si>
  <si>
    <t>Que Mañanita!!! En Telecinco ,Inda. En Antena 3, Albert Rivera. Llueve en Guipúzkoa. CUANTA MIERDA A PUNTA PALA. Hacer zapping es lo que toca.</t>
  </si>
  <si>
    <t>pic.twitter.com/XQeEdy9JCL</t>
  </si>
  <si>
    <t>Ser yo misma</t>
  </si>
  <si>
    <t>Antílopez</t>
  </si>
  <si>
    <t>Albert Rivera se ha pedido la X-VOX que viene con dos mandos pero del Ejército.</t>
  </si>
  <si>
    <t>Madrid e ida - vuelta nacional</t>
  </si>
  <si>
    <t>Una nueva actitud para hacer música. 🤹🏻‍♂️ Cancionistas desgenerados. Confetichistas. Chiripop Absurdo Depresivo con Catarsis Tragicómica. IG: mundoantilopez.</t>
  </si>
  <si>
    <t>http://www.antilopez.tv/</t>
  </si>
  <si>
    <t>LEBRIGAMER</t>
  </si>
  <si>
    <t>Politicos españoles vende humos...capitulo1 Albert Rivera...#vendehumo #fumatablanca</t>
  </si>
  <si>
    <t>Malú</t>
  </si>
  <si>
    <t>Intento comunicarme con la gente que tiene buenas ideas y aprender de ellas, mucha gente sabia,¡¡¡Viva la Gente!!!</t>
  </si>
  <si>
    <t>Joaquín</t>
  </si>
  <si>
    <t>Según las encuestas, a las andaluzas y andaluces nos preocupan: El paro, la sanidad, la corrupción y la educación. Pues está Albert Rivera en la tele diciendo que cuidao con @TeresaRodr_ que quiere "que #Catalunya sea independiente". Este nos toma por gilipollas</t>
  </si>
  <si>
    <t>#SanFernando #Andalucía</t>
  </si>
  <si>
    <t>Escribo cosas en las redes con @fergucommunity y hago fotos en @fergufoto con mi Canon 600D y mi Nikon D7200. Marido de Elena. Padre de Carmen y Alberto</t>
  </si>
  <si>
    <t>Julián G.A.</t>
  </si>
  <si>
    <t>Albert Rivera diciendo que hay "pocos" franquistas..los debe tener controlados..por eso de que todos van a sus manifestaciones y demás 🤷‍♂️</t>
  </si>
  <si>
    <t xml:space="preserve">barcelona </t>
  </si>
  <si>
    <t>You can't stop someone who knows where they're going</t>
  </si>
  <si>
    <t>https://www.instagram.com/juliangarciaa14/</t>
  </si>
  <si>
    <t>El Rey León Vegano 🦁🌱</t>
  </si>
  <si>
    <t>Esto, y cualquier tweet de Albert Rivera, es lo más asquerosamente neoliberal que vas a leer hoy. RT @DiarioGos: @Okina_Mune Digamos, yo creo que hay personas (tambien yo) que no se indigna por cuestiones sociales, por que en principio no nos ocaciona ningun problema a nosotros y la pregunta seria ¿ porque nos debe inportar algo que no nos afecta?</t>
  </si>
  <si>
    <t>https://twitter.com/diariogos/status/1063692226524532736</t>
  </si>
  <si>
    <t>Como carne por instinto, como tú cuando vas al súper. Hitler era vegano. Los veganos se creen superiores. Soy animalista pero como carne por necesidad. 🦁🌱🥗</t>
  </si>
  <si>
    <t>Griso, también con Albert Rivera #SpanishRevolution Seguirá vídeo en otro tuit.</t>
  </si>
  <si>
    <t>https://pbs.twimg.com/media/Dsbv1ssWoAA0odB.jpg</t>
  </si>
  <si>
    <t>Tristan Meyer H</t>
  </si>
  <si>
    <t>Albert Rivera hablando de Andalucía y sus elecciones sacando su tema: Catalunya. No sorprende pero ya cansa.</t>
  </si>
  <si>
    <t>Edición y redacción en @Fort_Apache_. A veces cubro manifestaciones. Crítico con todo y friki profesional. Sin patria, sin dios y sin partido: cínico libertario</t>
  </si>
  <si>
    <t>https://elojobuenodefritz.wordpress.com/</t>
  </si>
  <si>
    <t>Mikel Lizaldez</t>
  </si>
  <si>
    <t>A Albert Rivera le podrían poner tranquilamente un sueldo de colaborador en Espejo Publico...</t>
  </si>
  <si>
    <t>Pamplona / Iruña</t>
  </si>
  <si>
    <t>En mi bucle con CSI mientras espero con ganas el concierto de Love of Lesbian de Pamplona de Diciembre.// esperando la buena música.</t>
  </si>
  <si>
    <t>Impresionante el vídeo que he encontrado por aquí esta mañana. Anticipo. Esta es supuestamente una periodista. De antena 3. Pregunta a Albert Rivera, cómo no. #spanishRevolution</t>
  </si>
  <si>
    <t>https://pbs.twimg.com/media/DsbvNqpXoAEfNBO.jpg</t>
  </si>
  <si>
    <t>Kokri Koki</t>
  </si>
  <si>
    <t>Vaya mamazo le estan haciendo a Albert Rivera en espejo público.</t>
  </si>
  <si>
    <t>Ajá.</t>
  </si>
  <si>
    <t>http://instagram.com/kikokokic</t>
  </si>
  <si>
    <t>¡Nuestra Libertad!</t>
  </si>
  <si>
    <t>Albert Rivera acaba de decir en @antena3com que hay que combatir los nacionalismos, que ha contactado con los liberales europeos como Macron para impulsar el luchar contra los NACIONALISMOS. Tonces, ¿Por qué se presentan en las Comunidades Autónomas SI NO CREEN EN ELLAS?🤔</t>
  </si>
  <si>
    <t>Redpública de España</t>
  </si>
  <si>
    <t>Lo único que se necesita para que triunfe el mal es que los hombres de bien no hagan nada. Ubi concordia, ibi victoria. Scio me nihil scire.</t>
  </si>
  <si>
    <t>http://favstar.fm/users/zeliyo</t>
  </si>
  <si>
    <t>Albert Rivera ya es colaborador oficial de @EspejoPublico o seguís camuflandolo como invitado , @susannagriso ???</t>
  </si>
  <si>
    <t>https://pbs.twimg.com/media/DsbtjfjXgAADLk7.jpg</t>
  </si>
  <si>
    <t>Tito_gyc</t>
  </si>
  <si>
    <t>#MarchenaNOESP Me da dolor de barriga oír a Albert Rivera oír hablar de cómo gobiernan los demás. Un tío que no ha gobernado una mierda y los tres ayuntamientos que han gobernado, los han arruinado.#VendedorDeHumo</t>
  </si>
  <si>
    <t>SALAMANCA</t>
  </si>
  <si>
    <t>Llegaste como la savia nueva y llegó más felicidad. Ya no te irás nunca. 👼</t>
  </si>
  <si>
    <t>Ily my ibf👑</t>
  </si>
  <si>
    <t>Albert Rivera diciendo centro fjdjsusueiskws cada vez que escucho que existe un centro en España me entran ganas de reirme</t>
  </si>
  <si>
    <t>21. Just hold on 🎀. «25/08/14»</t>
  </si>
  <si>
    <t>Teresa García Sena</t>
  </si>
  <si>
    <t>El pacto de Albert Rivera y Manuel Valls se agrieta por los socialistas | Cataluña</t>
  </si>
  <si>
    <t>Candidata del PP Valencia al Congreso</t>
  </si>
  <si>
    <t>Nacho Espada</t>
  </si>
  <si>
    <t xml:space="preserve">Tolleric, Llucmajor </t>
  </si>
  <si>
    <t>Comunicación,Política,Derecho ,Relaciones Internacionales y función pública policial..Foro Hispano-Israelí para la Innovación</t>
  </si>
  <si>
    <t>http://www.forohispanoisraeli.com</t>
  </si>
  <si>
    <t>Jose A. Ruiz</t>
  </si>
  <si>
    <t>🔴 ÚLTIMA HORA | Albert Rivera en Espejo Público. Da igual cuando lo leas.</t>
  </si>
  <si>
    <t>Gijón / Barcelona</t>
  </si>
  <si>
    <t>Redactor y Promote de @DMetalheadRadio. DreamTheateriano confeso. Amante del Heavy Metal. Juego a FIFA como si no hubiese mañana.</t>
  </si>
  <si>
    <t>http://www.larryrunner.com</t>
  </si>
  <si>
    <t>El pacto entre Albert Rivera y Manuel Valls se agrieta porque el ex primer ministro francés se acerca a los socialistas.</t>
  </si>
  <si>
    <t>Español del País Vasco, viviendo en Madrid, monárquico y liberal.</t>
  </si>
  <si>
    <t>Marisol Diaz</t>
  </si>
  <si>
    <t>Badajoz - Madrid España</t>
  </si>
  <si>
    <t>Politóloga. Voy a cerrar fuerte los ojos para que no se me escape el alma...</t>
  </si>
  <si>
    <t>🔴📺 susanadiaz en EspejoPublico (desde sede psoedeandalucia): "Nadie se cree que Cs_Andalucia de repente se olvide de lo bueno que se ha hecho en esta legislatura. Los nervios de pablocasado_ y Albert_Rivera están afectando a sus candidatos en #Andalu…</t>
  </si>
  <si>
    <t>https://pbs.twimg.com/media/DsbhIPSWoAEBq8L.jpg</t>
  </si>
  <si>
    <t>Racle7</t>
  </si>
  <si>
    <t>Si apestas a separatista,rojo antipatriota o persona de mal vivir,no te acerques a mi.A veces NO COMPARTO lo que retuiteo.Orgulloso de ser ESPAÑOL.</t>
  </si>
  <si>
    <t>_Marlow_</t>
  </si>
  <si>
    <t>El pacto de Albert Rivera y Manuel Valls se agrieta por los socialistas. Pero es que Valla es Socialista Veleta  vía @elmundoes</t>
  </si>
  <si>
    <t>No hay que temer mas que al propio temor y al protegernos de lo imposible hacemos que lo impensable alcance a ser lo imaginable..</t>
  </si>
  <si>
    <t>MONTESQUIEU-1956</t>
  </si>
  <si>
    <t>EUROPA-ESPAÑA.-</t>
  </si>
  <si>
    <t>POR LA LIBERTAD INDIVIDUAL Y ECONÓMICA.NO A LO POLÍTICAMENTE CORRECTO.BUSCANDO SIEMPRE LA VERDAD.DERECHO Y CRIMINOLOGÍA.</t>
  </si>
  <si>
    <t>http://www.sajimes.blogspot.com</t>
  </si>
  <si>
    <t>Besab15</t>
  </si>
  <si>
    <t>Que dice la regidora d educación q sigue esperando las disculpas de Junts per Sant Andreu. Hay quien sigue esperando sus explicaciones a los tweets contra los @9delpalau por parte de Albert Rivera. Hay quienes seguimos esperando explicaciones sobre sus silencios y posicionamiento RT @CsSABarca: Cuando se miente sobre nosotros, y encima faltando al respeto a nuestros votantes y representantes, debemos de explicar la verdad. Todavía estamos esperando las disculpas de @juntspersab y su alcaldable @DavidRomeroSAB. Errar es de humanos y rectificar es de sabios.</t>
  </si>
  <si>
    <t>https://twitter.com/CsSABarca/status/1064662908360159235
https://twitter.com/santandreutv/status/1063397374381428737</t>
  </si>
  <si>
    <t>Sant Andreu de la Barca, España</t>
  </si>
  <si>
    <t>Luis Alfonso Ortiz</t>
  </si>
  <si>
    <t>El día que haya perdido toda la esencia de las cosas buenas. Estaré listo para mi último viaje.</t>
  </si>
  <si>
    <t>Pi ar</t>
  </si>
  <si>
    <t>Islas Canarias</t>
  </si>
  <si>
    <t>"En el país de los ciegos, el tuerto es Rey"</t>
  </si>
  <si>
    <t>Josep Maria Francàs</t>
  </si>
  <si>
    <t>Humor catalán, no te molestes. Manresa, (Barcelona). Licenciado en Ciencias Biológicas. Ex político y periodista. http://es.favstar.fm/users/jmfrancas</t>
  </si>
  <si>
    <t>http://www.noentiendonada.es</t>
  </si>
  <si>
    <t>Nemesis</t>
  </si>
  <si>
    <t>2 pasiones que parecen vicio,la lectura devoro libros me agrada el ritual de comprarlos y evadirme ,la otra pasión es la música pero desde el año 1998 Malú</t>
  </si>
  <si>
    <t>John Müller</t>
  </si>
  <si>
    <t>MAD/SCL/ZOS</t>
  </si>
  <si>
    <t>Periodista. He visto caer dos democracias: Chile y Venezuela. Parrillero experto. Osornino, carnivorista y colesterólico. A veces e-stent-óreo. Fui bombero.</t>
  </si>
  <si>
    <t>https://johnmuller.wordpress.com/author/cultrun/</t>
  </si>
  <si>
    <t>Siguiendo con preocupación la información que llega de la tragedia en Vacarisses. Mi pésame a los familiares de la persona fallecida, espero una pronta estabilización y recuperación de los heridos. RT @La_SER: 🔴 ÚLTIMA HORA | Un muerto y cuatro heridos graves tras descarrilar un tren en Barcelona</t>
  </si>
  <si>
    <t>https://twitter.com/la_ser/status/1064769222574833664
http://cadenaser.com/emisora/2018/11/20/radio_barcelona/1542695187_944423.html</t>
  </si>
  <si>
    <t>SOS CIUDADANOS</t>
  </si>
  <si>
    <t>🔴 Para Valls la derrota del independentismos en Barcelona pasa por integrar al PSOE y al PSC en su plataforma. No hay más ciego que el que no quiere ver. 🤔</t>
  </si>
  <si>
    <t>https://a.msn.com/r/2/BBPTvWt?m=es-es&amp;referrerID=InAppShare</t>
  </si>
  <si>
    <t>https://pbs.twimg.com/media/DsbYWxcWoAEbcO5.jpg</t>
  </si>
  <si>
    <t>Ni izquierda, ni centro, ni derecha; todos ellos términos que se prestan a la demagogia. Aquí nos referimos a la política en términos de buena o mala gestión.</t>
  </si>
  <si>
    <t>ferran boiza hidalgo</t>
  </si>
  <si>
    <t>El pacto de Albert Rivera y Manuel Valls se agrieta por los socialistas @elmundoes</t>
  </si>
  <si>
    <t>http://www.elmundo.es/cataluna/2018/11/20/5bf30ac5468aeb7a7e8b4607.html</t>
  </si>
  <si>
    <t>L'Hospitalet/Blanes/Madrid</t>
  </si>
  <si>
    <t>Periodista. Redactor Jefe de Madrid en El Mundo. Hospitalenc que viu a Madrid. Mi visión de las cosas aquí y en @BuenosDiasOM, @MadridDirectoOM y @ElEnfoqueOM</t>
  </si>
  <si>
    <t>http://www.elmundo.es</t>
  </si>
  <si>
    <t>Raúl Guzzo Conte-G.</t>
  </si>
  <si>
    <t>El pacto de Albert Rivera y Manuel Valls se agrieta por los socialistas  vía @elmundoes Valls no es(era y lo echaron)socialista. NO, es un Transfuga, más de los que Rivera ha traído a la... Conjura del Goya.</t>
  </si>
  <si>
    <t>La República es Independencia de Poderes,Estado de Derecho y la Constitución (reformable).</t>
  </si>
  <si>
    <t>Fernando de Andugar</t>
  </si>
  <si>
    <t>¡Todos con Valls a por Barcelona! "El pacto de Albert Rivera y Manuel Valls se agrieta por los socialistas " vía @elmundoes</t>
  </si>
  <si>
    <t>España   🇪🇸</t>
  </si>
  <si>
    <t>Y yo había dicho: «¡Vive!» 🇪🇺🇪🇸 Es decir: ama y besa, escucha, mira,toca,embriágate y sueña...</t>
  </si>
  <si>
    <t>Albert Rivera y Pablo Casado, su jefe, dicen que tienen "un plan para Andalucía". Por eso llevan un mes hablando, de Cataluña, a las familias andaluzas, Se nota de lejos quien tiene un máster.</t>
  </si>
  <si>
    <t>ALBERT RIVERA denota que PROCEDE del PP mas CONSERVADOR 🗣️ Caracas, 📣 DERECHO NATURAL REPUBLICANO,</t>
  </si>
  <si>
    <t>https://goo.gl/7eQaCN?yvk84=5401760075</t>
  </si>
  <si>
    <t>Cara a cara entre Pablo Casado, Albert Rivera, Santiago Abascal e Inés Arrimadas para las elecciones de Andalucía.</t>
  </si>
  <si>
    <t>pic.twitter.com/1btoOdIEul</t>
  </si>
  <si>
    <t>Jaume Barberà</t>
  </si>
  <si>
    <t>Catalonia. Europe.</t>
  </si>
  <si>
    <t>Journalist. "Magical Realism is defined as what happens when a highly detailed, realistic setting is invaded by something too strange to believe". (Narcos)</t>
  </si>
  <si>
    <t>Wille E Coyote 🎗</t>
  </si>
  <si>
    <t>Albert Rivera y la Hoja de Ruta...merda amb al corrector collons, Hoja = Hija, Ruta = toc toc toc..... Cojones, ¿Quien llama ahora a la puerta de la cueva?</t>
  </si>
  <si>
    <t>https://pbs.twimg.com/media/DsaywTnX4AAdKu-.jpg</t>
  </si>
  <si>
    <t>Manresa, Catalunya</t>
  </si>
  <si>
    <t>Si fem tremolar les bases del teu estat pot ser que l'has construït a una terra que no et pertany</t>
  </si>
  <si>
    <t>Vaya con la Tere Potemos Rodríguez. Otra 🐛🐛🐛Teresa Rodríguez llama "Albert Primo de Rivera" a Albert Rivera</t>
  </si>
  <si>
    <t>FOROCEN-FORO</t>
  </si>
  <si>
    <t>FERIA en SEVILLA,llega Albert Rivera como hay que ir a la FERIA,con corbata y Marín se la pone.</t>
  </si>
  <si>
    <t>https://pbs.twimg.com/media/Dsak2tlWwAAyO50.jpg</t>
  </si>
  <si>
    <t>FORO dedicado a la CIUDAD ESPAÑOLA , que junto a la francesa París y la estadounidense Nueva York , forma el triángulo de grandes ciudades del mundo.</t>
  </si>
  <si>
    <t>karlos antonov</t>
  </si>
  <si>
    <t>Hallan caspa de Mariano Rajoy en la nariz de Albert Rivera</t>
  </si>
  <si>
    <t>http://rokambol.com/hallan-caspa-de-mariano-rajoy-en-la-nariz-de-albert-rivera/</t>
  </si>
  <si>
    <t>lanzarote</t>
  </si>
  <si>
    <t>la crisis me ha dejado sin blanca pero hay que levantarse y seguir ¡maldita farsa¡</t>
  </si>
  <si>
    <t>La Opinión A Coruña</t>
  </si>
  <si>
    <t>El lema de la campaña era "Es hora de cambiar los tópicos de España", un tema que parece no haber gustado mucho al líder de Ciudadanos</t>
  </si>
  <si>
    <t>https://ocio.laopinioncoruna.es/tv/noticias/nws-709050-encontronazo-risto-mejide-albert-rivera-una-campana-publicitaria.html</t>
  </si>
  <si>
    <t>A Coruña</t>
  </si>
  <si>
    <t>Las últimas noticias de A Coruña, su área y toda Galicia. Política, ocio y deportes. El día a a día contado en tuits</t>
  </si>
  <si>
    <t>https://www.laopinioncoruna.es/</t>
  </si>
  <si>
    <t>https://pbs.twimg.com/media/DsaAYZ_W0AEIPrZ.jpg</t>
  </si>
  <si>
    <t>☯ Iban The Dude © ᴴᴰ</t>
  </si>
  <si>
    <t>El duo comico entre Pablo Casado y Albert Rivera puede dar lugar al nuevo "Martes y Trece". Tiempo al tiempo. RT @laSextaTV: VÍDEO | Pablo Casado: "Nosotros no colonizábamos, lo que hacíamos era tener una España más grande"</t>
  </si>
  <si>
    <t>https://twitter.com/laSextaTV/status/1063878186688282625
http://atres.red/p7u8v2</t>
  </si>
  <si>
    <t>Antártida del Norte</t>
  </si>
  <si>
    <t>My Soul is Dark | Determination ♥️Painful 💙 and Sun Shot 💛 ◄► 🎬🎮🍻🍻 El Arte del Dibujo de la foto de perfil fue creado por la artistaza de @DarthMiaul 😍🐱</t>
  </si>
  <si>
    <t>https://www.youtube.com/channel/UCsvn_Po0SmunchJYOWpOxMg</t>
  </si>
  <si>
    <t>David Bustos</t>
  </si>
  <si>
    <t>Teresa Rodríguez -candidata de Podemos a la Junta de Andalucía- se refiere al líder de Ciudadanos Albert Rivera como "Albert Primo de Rivera" en el #DebateCanalSur. ¿Quieren mirar hacia adelante pero no pueden vivir sin el pasado? Y encima faltando el respeto. Así está el nivel.</t>
  </si>
  <si>
    <t>Instagram: david_taurino_</t>
  </si>
  <si>
    <t>Editor y redactor del medio de comunicación @arribestaurinas 📝 / Estudiante de Periodismo (UCM) y del @cursopertaurino 📜 Madrid 📍📍</t>
  </si>
  <si>
    <t>http://arribestaurinas.es/</t>
  </si>
  <si>
    <t>Lluis</t>
  </si>
  <si>
    <t>Para cuando el video???? Teresa Rodríguez llama "Albert Primo de Rivera" a Albert Rivera</t>
  </si>
  <si>
    <t>JO SOC CDRI'S Perdoneu el meus errors catala escrit!! Som RUCS CATALANS Tossuts hi Perseverants</t>
  </si>
  <si>
    <t>Maxi Aria</t>
  </si>
  <si>
    <t>Agregué un video a una lista de reproducción de @YouTube  Pablo Iglesias vs Albert Rivera.</t>
  </si>
  <si>
    <t>http://youtu.be/BtIOOKTHRTU?a</t>
  </si>
  <si>
    <t>Albert Rivera, el mas tonto hacedor de presidentes, pide primarias y limpia corruptos ☑️ Política, ⚠️ DOCTRINA OFICIAL,</t>
  </si>
  <si>
    <t>https://goo.gl/6krPHi?vqx93=3451776453</t>
  </si>
  <si>
    <t>Denzel-Watching-town.</t>
  </si>
  <si>
    <t>BRUTALLLLL lo de @Newtral uuufff. Cuándo les toque a los políticos a nivel nacional hacer un debate, podríamos asegurar k Albert Rivera no asistirá después de ver como se las gastan este equipo de rastreadores de mentiras. 😂😂😂 Felicidades @Newtral</t>
  </si>
  <si>
    <t>PREFIERO ser EXTREMADAMENTE POBRE antes k MISERABLEMENTE RICO. sí yo sí.✊🏿✊🏿✊🏿</t>
  </si>
  <si>
    <t>http://dlvr.it/Qrdgnw</t>
  </si>
  <si>
    <t>https://pbs.twimg.com/media/DsZpsgmVYAAlclr.jpg</t>
  </si>
  <si>
    <t>Meaonaranja</t>
  </si>
  <si>
    <t>Bien joder! Echaba de menos al Pollo! -Albert Rivera #estoyvivo</t>
  </si>
  <si>
    <t>Llego tarde, como siempre. Me gusta el queso y las revoluciones sociales. Devorador de libros, series, películas y videojuegos.</t>
  </si>
  <si>
    <t>Jorge Navas Alejo🔻</t>
  </si>
  <si>
    <t>“Ya me gustaría a mí ver a Albert Rivera o a Pablo Casado con un salario de 900€ durante 3 meses” Grande @TeresaRodr_ #DebateCanalSur</t>
  </si>
  <si>
    <t>Bruselas (California)</t>
  </si>
  <si>
    <t>Programador web y administrador de sistemas. Militante del @PCEBelgica e @IUBruselas. Comunicación interna en @iunida. Redes y audiovisuales en @IUEuropa.</t>
  </si>
  <si>
    <t>http://www.jorgenavasalejo.com</t>
  </si>
  <si>
    <t>Teresa Rodríguez llama "Albert Primo de Rivera" a Albert Rivera #DebateCanalSur</t>
  </si>
  <si>
    <t>JoseM 🐺</t>
  </si>
  <si>
    <t>#DebateCanalSur Teresa Rodríguez ha llamado a Albert Rivera, Albert Primo de Rivera jajaja</t>
  </si>
  <si>
    <t>Minnesota Timberwolves🏀 / Vikings🏈</t>
  </si>
  <si>
    <t>Lord Yborra</t>
  </si>
  <si>
    <t>Cuando te compras el cosplay de Albert Rivera por Aliexpress.</t>
  </si>
  <si>
    <t>https://pbs.twimg.com/media/DsZmloGWwAAtEQF.jpg</t>
  </si>
  <si>
    <t>Traduzco muchas pelis, series y programas | Fan de las pelis malas | Cómics | Vocal en @ATRAE_ORG | Soy lord de verdad, no es coña | Como y bebo cosas raras.</t>
  </si>
  <si>
    <t>Tío Pío</t>
  </si>
  <si>
    <t>¿Se puede ser más bajuna que Teresa Rodríguez llamando Primo de Rivera a Albert Rivera?#DebateCanalSur</t>
  </si>
  <si>
    <t>Arturo Morán 🐒</t>
  </si>
  <si>
    <t>No entiendo que Ciudadanos tenga un representante como Juan Marín… me queda claro que la gente vota a Inés Arrimadas y a Albert Rivera, no a Juan Marín.</t>
  </si>
  <si>
    <t>Informático en Gestión de empresas, Marketing estratégico en entornos sociales, SEO y SEM. http://Desmonkey.es</t>
  </si>
  <si>
    <t>Juanjo Richarte ن</t>
  </si>
  <si>
    <t>No sé si Pablo Casado y Albert Rivera podrían vivir con 900€ al mes, lo que sé es que su compañero Pablo Iglesias no. #DebateCanalSur</t>
  </si>
  <si>
    <t>San Fernando, Andalucía</t>
  </si>
  <si>
    <t>Andaluz de la A a la Z, de San Fernando, ciudad donde se venció a Napoleón. Integrador social y profesor en proceso. Cañaíllamente cañaílla.</t>
  </si>
  <si>
    <t>#DebateCanalSur @TeresaRodr_: "Querría yo ver a Albert Rivera cobrando 900 euros durante tres meses, estamos en una comunidad que gana de media 260 euros menos al mes que el resto de España" #EleccionesAndaluzas</t>
  </si>
  <si>
    <t>Entre el "Dio un golpe de Estado en su partido" a Susana y el "Albert Rivera primo" a Marín, Teresa se ha lucido en su intervención vamos</t>
  </si>
  <si>
    <t>Estanis Rodríguez</t>
  </si>
  <si>
    <t>Teresa Rodríguez llama a Albert Rivera, “Albert Primo de Rivera” 🤦🏼‍♂️. El nivel no puede ser más bajo. #DebateCanalSur</t>
  </si>
  <si>
    <t>〈『１９９５. Law + Politics』〉Liberal. Militante del @PPopular. Vocal de NNGG en Acción Política y Formación del Distrito de Salamanca.</t>
  </si>
  <si>
    <t>El Salto Andalucía</t>
  </si>
  <si>
    <t>[Directo] @TeresaRodr_ "Insultar a los Andaluces es venir a #Andalucía a decir que a los andaluces no hay que darles pescado sino enseñarles a pescar. Y eso vino a hacerlo Albert Rivera aquí" #DebateCanalSur</t>
  </si>
  <si>
    <t>Un medio de la gente para una Andalucía con voz propia. Contacta en andalucia@elsaltodiario.com</t>
  </si>
  <si>
    <t>https://elsaltodiario.com/</t>
  </si>
  <si>
    <t>🇪🇸 Isabel 🇪🇸</t>
  </si>
  <si>
    <t>Albert Rivera afirma que retira el apoyo al Gobierno en la aplicación del 155 (9 de Mayo 2018)</t>
  </si>
  <si>
    <t>https://elpais.com/politica/2018/05/09/actualidad/1525855695_984925.html</t>
  </si>
  <si>
    <t>"Ninguna sociedad prosperó por tener una clase grande y creciente de parásitos que vivían de aquellos que producían." Thomas Sowell</t>
  </si>
  <si>
    <t>La Colorá 🔻♀🇵🇸</t>
  </si>
  <si>
    <t>#DebateCanalSur Andalucía pa cuando 👏👏👏👏 @TeresaRodr_ Qué simple y oportunista es Juan Marín, discurso copypaste de Albert Rivera, y que bueno el discurso de Teresa, lo que nos rompe por la mitad a las andaluzas y andaluces es abrir el buzón y ver las facturas</t>
  </si>
  <si>
    <t>Con la patria en mis zapatos</t>
  </si>
  <si>
    <t>Hice Derecho.Madre.Montañera.Yogui. Oposito.Feminista.Fui edil de IU y interina en JA.Trabajé en @Granadaacoge.Colaboro en @MObrero_Radio con 'Hijas de Calenda'</t>
  </si>
  <si>
    <t>http://elblogdemaitemolina.blogspot.com/</t>
  </si>
  <si>
    <t>PILUETA Pikol-eta</t>
  </si>
  <si>
    <t>Albert Rivera es más de sentarse con nazis de Vox y con terroristas en Venezuela #DebateCanalSur</t>
  </si>
  <si>
    <t>https://pbs.twimg.com/media/DsZkdw9WsAEI6pi.jpg</t>
  </si>
  <si>
    <t>mikasa</t>
  </si>
  <si>
    <t>(Satirical profile) Tolo es telolismo, tolo es ETA: la típica china con coleta que dise ¡Viva Dios, la patlia y el Ley!... y pone un bal en la Meseta.</t>
  </si>
  <si>
    <t>Fracaso absoluto de un acto de Albert Rivera en Sevilla  Si Ciudadanos no pide el 155,o quita lazos amarillos , no son nada, simple humo para bajar impuestos a ricos y manifestarse con la ultraderecha. #DebateCanalSur #2DCanalSur</t>
  </si>
  <si>
    <t>https://digitalsevilla.com/2018/10/01/fracaso-absoluto-de-un-acto-de-albert-rivera-en-sevilla/#.W_M545Z2W3B.twitter</t>
  </si>
  <si>
    <t>Cristian Gracia</t>
  </si>
  <si>
    <t>¿Y Andalucía pa' cuando? El delegado de Albert Rivera en Sevilla debería empezar a hablar de soluciones para Andalucía, no de lo que ocurre en la otra punta del país #DebateCanalSur</t>
  </si>
  <si>
    <t>La Ry'leh andalusa</t>
  </si>
  <si>
    <t>Milito para cambiar el mundo de base. Cabalgo contradicciones y surfeo acantilados, o algo así. Desde Andalucía para Andalucía.</t>
  </si>
  <si>
    <t>Está siendo Juan Marín muy ecuánime al dar réplicas al PSOE, al PP y a Adelante Andalucía. Con un poco de suerte le larga otro guantazo a Albert Rivera sabiendo que lo esconden como candidato en favor de Inés Arrimadas #DebateCanalSur</t>
  </si>
  <si>
    <t>Juuhh Jaahh</t>
  </si>
  <si>
    <t>Ciudadanos está en contra del cupo vasco, pero cuando Albert Rivera es entrevistado en la TV vasca, recula como un cangrejo #DebateCanalSur</t>
  </si>
  <si>
    <t>España 🇪🇸</t>
  </si>
  <si>
    <t>C̷E̷L̷E̷I̷R̷O̷</t>
  </si>
  <si>
    <t>Galiza ~ Zagreb</t>
  </si>
  <si>
    <t>Y yo soltero. ~ BMW Genius ~ RCD ~ Boston Celtics ☘️</t>
  </si>
  <si>
    <t>Antonio Elías 🔻</t>
  </si>
  <si>
    <t>Juan Marín y su discurso joseantoniano clonado de Albert Rivera #DebateCanalSur</t>
  </si>
  <si>
    <t>Zafarraya(Granada)</t>
  </si>
  <si>
    <t>Uno del montón.</t>
  </si>
  <si>
    <t>Diego Aitor</t>
  </si>
  <si>
    <t>Me imagino a Albert Rivera y Pablo Casado viendo indignados el #DebateCanalSur preguntándose quiénes son los que hablan del PP y Cs</t>
  </si>
  <si>
    <t>Si tienen una historia que contar, este es el lugar; si buscan una pendiente, sean bienvenidos.</t>
  </si>
  <si>
    <t>https://latintademagallines.wordpress.com/</t>
  </si>
  <si>
    <t>Ya han saltado a la palestra Pedro Sánchez, Albert Rivera, Pablo Iglesias y Pablo Casado, se acabó Andalucía. #DebateCanalSur</t>
  </si>
  <si>
    <t>Esta claro que cuando un oponente reconoce que #SusanaGana ha cumplido lo pactado,es que recibió órdenes de Albert Rivera para romper el pacto. #debateCanalSur</t>
  </si>
  <si>
    <t>pic.twitter.com/NI45cnjI6a</t>
  </si>
  <si>
    <t>Miguel Á. Rodríguez</t>
  </si>
  <si>
    <t>Con lo seguro y sensato que parece ser Albert Rivera y lo débil que es su candidato en #Andalucia... 🤦 #DebateCanalSur</t>
  </si>
  <si>
    <t>Comunicación Audiovisual. Lo mio es la tele. He pasado por TeleSevilla. Ahora en @Blogosur. Redactor de @eltelevisero. ¡Cachorrista! Chicote me dio de comer</t>
  </si>
  <si>
    <t>https://www.instagram.com/miguelangelrb3/</t>
  </si>
  <si>
    <t>Mandeep</t>
  </si>
  <si>
    <t>#DebateCanalSur Ha salido el gordo a las 23:09 Juan Marín se ofrece al PP, siguiendo las instrucciones de Albert Rivera, y después de gobernar con el PSOE 3 años y después decir que son unos corruptos...</t>
  </si>
  <si>
    <t>Experto en llevar la contraria...incluso a mi mismo! Madridista, Malaguista, seriefilo, cinefilo y ademas me faltan un par de filtros! Music is Life</t>
  </si>
  <si>
    <t>"Albert Rivera está muy preocupado por la salud del castellano en Andalucía, propone retirar el andaluz en las escuelas, asegura: hay niños andaluces que acaban la secundaria y salen del instituto sin saber hablar español. Solo hablan andaluz" LUMBRERAS😜</t>
  </si>
  <si>
    <t>https://www.eljueves.es/news/ciudadanos-propone-retirar-andaluz-escuelas-andaluzas_2963</t>
  </si>
  <si>
    <t>Dani Carrasco</t>
  </si>
  <si>
    <t>#SusanaGana #DebateCanalSur @susanadiaz "Juan Marín, le obliga a sobreactuar Albert Rivera"</t>
  </si>
  <si>
    <t>José Muñoz</t>
  </si>
  <si>
    <t>Albert Rivera es quien dicta el discurso y la campaña a su sucursal en #Andalucía. #DebateCanalSur #NotienenProyectoParaAndalucía</t>
  </si>
  <si>
    <t>Militante del PSOE, en la actualidad Diputado del Grupo Socialista en el Parlamento de Andalucía.</t>
  </si>
  <si>
    <t>mule</t>
  </si>
  <si>
    <t>Albert Rivera e Inés Arrimadas tenían varios compromisos hoy y no han podido ir al #DebateCanalSur y han enviado a Juan Marín, no sin antes recordarle que esta vez iba por Ciudadanos.</t>
  </si>
  <si>
    <t>https://pbs.twimg.com/media/DsZdKlBXQAAIyAY.jpg</t>
  </si>
  <si>
    <t>cartagenero,colchonero y creyente del cambio social y político para lograr una sociedad más igualitaria. soñando con ser gestor turístico. CM de @ct_turistica</t>
  </si>
  <si>
    <t>Carmen González</t>
  </si>
  <si>
    <t>Qué caso de corrupción ha habido desde que soy presidenta? Ninguno @JuanMarin_Cs actúa en función de lo que diga Albert Rivera #DebateCanalSur #SusanaGana</t>
  </si>
  <si>
    <t>Licenciada en Filología Española. SG PSOE Carmona. Concejala. Defensora de las libertades y de la igualdad. Siempre desde la izquierda.</t>
  </si>
  <si>
    <t>Rafael Borja</t>
  </si>
  <si>
    <t>Tales of #Ñ: - Mira, por ahí va Albert Rivera - Ese es Pablo Casado! - ¿Y cuál es la diferencia?</t>
  </si>
  <si>
    <t>València, País Valencià</t>
  </si>
  <si>
    <t>Allò que val és la consciència de no ser res si no s'és poble' ... 'No podran res davant d'un poble unit, alegre i combatiu' Vicent Andrés Estellés</t>
  </si>
  <si>
    <t>Manu wandalus</t>
  </si>
  <si>
    <t>enajenostudios</t>
  </si>
  <si>
    <t>https://soundcloud.com/wandalus-enajenostudio</t>
  </si>
  <si>
    <t>Calamarmartinez</t>
  </si>
  <si>
    <t>#DebateCanalSur Albert Rivera os iba a enseñar a pescar,lo que no os dijo es que el cebo erais vosotros</t>
  </si>
  <si>
    <t>al lado</t>
  </si>
  <si>
    <t>Solo personas, si eres de derechas trae un certificado.</t>
  </si>
  <si>
    <t>Albert Rivera es tan demócrata que no es capaz de condenar el franquismo.</t>
  </si>
  <si>
    <t>Ignacio Henares</t>
  </si>
  <si>
    <t>Aquí el as bajo la manga que el cabeza de lista de Ciudadanos guardaba para centrar la atención del #DebateCanalSur y sacudirse la tutela de Albert Rivera.</t>
  </si>
  <si>
    <t>https://pbs.twimg.com/media/DsZZw4NXgAEGrfR.jpg</t>
  </si>
  <si>
    <t>De joven promesa a vieja gloria. Conservador del parque nacional y parque natural de Sierra Nevada aunque soy más conversador que conservador</t>
  </si>
  <si>
    <t>http://ignaciohenares.blogspot.com</t>
  </si>
  <si>
    <t>ContraEscritura</t>
  </si>
  <si>
    <t>Albert Rivera debe estar llamando a Marín en estos momentos para recordarle que el debate ha empezado.</t>
  </si>
  <si>
    <t>Trinchera de libros</t>
  </si>
  <si>
    <t>De donde yo vengo, el raro eres tú. No se aceptan excusas, neutrales, cobardes ni linchamientos. Editorial dependiente. Felix Meritis</t>
  </si>
  <si>
    <t>http://www.contraescritura.com/</t>
  </si>
  <si>
    <t>Dice Juan Marín que para Ciudadanos lo primero es Andalucía, y por eso Inés Arrimadas y Albert Rivera llevan aquí un mes hablando de Cataluña. #DebateCanalSur</t>
  </si>
  <si>
    <t>Juan Marín si Andalucía es para C's lo más importante por qué viene Albert Rivera aquí a hablarnos de Cataluña #DebateCanalSur</t>
  </si>
  <si>
    <t>A Juan Marín le quitas de al lado a Arrimadas, Albert Rivera y el discurso de Cataluña y no dice nada. Solo amontona las palabras #DebateCanalSur</t>
  </si>
  <si>
    <t>pic.twitter.com/f3seJuZvf4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</si>
</sst>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h:mm:ss"/>
    <numFmt numFmtId="165" formatCode="dd\.mm\.yyyy"/>
    <numFmt numFmtId="166" formatCode="d/m/yyyy"/>
  </numFmts>
  <fonts count="10">
    <font>
      <sz val="10"/>
      <color rgb="FF000000"/>
      <name val="Arial"/>
    </font>
    <font>
      <sz val="9"/>
      <color rgb="FFFFFFFF"/>
      <name val="Droid Sans"/>
    </font>
    <font>
      <sz val="8"/>
      <color rgb="FFFFFFFF"/>
      <name val="Droid Sans"/>
    </font>
    <font>
      <sz val="8"/>
      <name val="Droid Sans"/>
    </font>
    <font>
      <u/>
      <sz val="8"/>
      <color rgb="FF0000FF"/>
      <name val="Droid Sans"/>
    </font>
    <font>
      <u/>
      <sz val="8"/>
      <color rgb="FF0000FF"/>
      <name val="Droid Sans"/>
    </font>
    <font>
      <u/>
      <sz val="8"/>
      <color rgb="FF0000FF"/>
      <name val="Droid Sans"/>
    </font>
    <font>
      <u/>
      <sz val="8"/>
      <color rgb="FF0000FF"/>
      <name val="Droid Sans"/>
    </font>
    <font>
      <u/>
      <sz val="8"/>
      <color rgb="FF0000FF"/>
      <name val="Droid Sans"/>
    </font>
    <font>
      <u/>
      <sz val="8"/>
      <color rgb="FF0000FF"/>
      <name val="Droid Sans"/>
    </font>
  </fonts>
  <fills count="5">
    <fill>
      <patternFill patternType="none"/>
    </fill>
    <fill>
      <patternFill patternType="gray125"/>
    </fill>
    <fill>
      <patternFill patternType="solid">
        <fgColor rgb="FF1155CC"/>
        <bgColor rgb="FF1155CC"/>
      </patternFill>
    </fill>
    <fill>
      <patternFill patternType="solid">
        <fgColor rgb="FF3C78D8"/>
        <bgColor rgb="FF3C78D8"/>
      </patternFill>
    </fill>
    <fill>
      <patternFill patternType="solid">
        <fgColor rgb="FF4A86E8"/>
        <bgColor rgb="FF4A86E8"/>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4">
    <xf numFmtId="0" fontId="0" fillId="0" borderId="0" xfId="0" applyFont="1" applyAlignment="1"/>
    <xf numFmtId="164" fontId="2" fillId="4" borderId="1" xfId="0" applyNumberFormat="1" applyFont="1" applyFill="1" applyBorder="1" applyAlignment="1">
      <alignment horizontal="center" vertical="center"/>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14" fontId="3" fillId="0" borderId="0" xfId="0" applyNumberFormat="1" applyFont="1" applyAlignment="1">
      <alignment horizontal="center" vertical="center"/>
    </xf>
    <xf numFmtId="0" fontId="4" fillId="0" borderId="0" xfId="0" applyFont="1" applyAlignment="1">
      <alignment vertical="center"/>
    </xf>
    <xf numFmtId="0" fontId="3" fillId="0" borderId="0" xfId="0" applyFont="1" applyAlignment="1">
      <alignment vertical="center"/>
    </xf>
    <xf numFmtId="0" fontId="3" fillId="0" borderId="0" xfId="0" applyFont="1" applyAlignment="1">
      <alignment vertical="center" wrapText="1"/>
    </xf>
    <xf numFmtId="0" fontId="5" fillId="0" borderId="0" xfId="0" applyFont="1" applyAlignment="1">
      <alignment horizontal="center" vertical="center"/>
    </xf>
    <xf numFmtId="0" fontId="6" fillId="0" borderId="0" xfId="0" applyFont="1" applyAlignment="1">
      <alignment horizontal="left" vertical="center"/>
    </xf>
    <xf numFmtId="0" fontId="3" fillId="0" borderId="0" xfId="0" applyFont="1" applyAlignment="1">
      <alignment horizontal="left" vertical="center"/>
    </xf>
    <xf numFmtId="0" fontId="3" fillId="0" borderId="0" xfId="0" applyFont="1" applyAlignment="1">
      <alignment horizontal="center" vertical="center"/>
    </xf>
    <xf numFmtId="0" fontId="7" fillId="0" borderId="0" xfId="0" applyFont="1" applyAlignment="1">
      <alignment horizontal="left" vertical="center"/>
    </xf>
    <xf numFmtId="0" fontId="3" fillId="0" borderId="0" xfId="0" applyFont="1" applyAlignment="1">
      <alignment horizontal="center" vertical="center"/>
    </xf>
    <xf numFmtId="0" fontId="3" fillId="0" borderId="0" xfId="0" applyFont="1" applyAlignment="1">
      <alignment horizontal="left" vertical="center"/>
    </xf>
    <xf numFmtId="0" fontId="3" fillId="0" borderId="0" xfId="0" applyFont="1" applyAlignment="1">
      <alignment horizontal="left" vertical="center" wrapText="1"/>
    </xf>
    <xf numFmtId="0" fontId="3" fillId="0" borderId="0" xfId="0" applyFont="1" applyAlignment="1">
      <alignment horizontal="center" vertical="center"/>
    </xf>
    <xf numFmtId="0" fontId="3" fillId="0" borderId="0" xfId="0" applyFont="1" applyAlignment="1">
      <alignment horizontal="left" vertical="center" wrapText="1"/>
    </xf>
    <xf numFmtId="0" fontId="8" fillId="0" borderId="0" xfId="0" applyFont="1" applyAlignment="1">
      <alignment vertical="center"/>
    </xf>
    <xf numFmtId="14" fontId="3" fillId="0" borderId="0" xfId="0" applyNumberFormat="1" applyFont="1" applyAlignment="1">
      <alignment horizontal="center" vertical="center"/>
    </xf>
    <xf numFmtId="0" fontId="3" fillId="0" borderId="0" xfId="0" applyFont="1" applyAlignment="1">
      <alignment vertical="center"/>
    </xf>
    <xf numFmtId="0" fontId="3" fillId="0" borderId="0" xfId="0" applyFont="1" applyAlignment="1">
      <alignment vertical="center" wrapText="1"/>
    </xf>
    <xf numFmtId="164" fontId="3" fillId="0" borderId="0" xfId="0" applyNumberFormat="1" applyFont="1" applyAlignment="1">
      <alignment horizontal="center" vertical="center"/>
    </xf>
    <xf numFmtId="0" fontId="3" fillId="0" borderId="0" xfId="0" quotePrefix="1" applyFont="1" applyAlignment="1">
      <alignment horizontal="left" vertical="center"/>
    </xf>
    <xf numFmtId="0" fontId="9" fillId="0" borderId="0" xfId="0" applyFont="1" applyAlignment="1">
      <alignment horizontal="left" vertical="center" wrapText="1"/>
    </xf>
    <xf numFmtId="0" fontId="3" fillId="0" borderId="0" xfId="0" quotePrefix="1" applyFont="1" applyAlignment="1">
      <alignment horizontal="left" vertical="center" wrapText="1"/>
    </xf>
    <xf numFmtId="165" fontId="3" fillId="0" borderId="0" xfId="0" applyNumberFormat="1" applyFont="1" applyAlignment="1">
      <alignment horizontal="left" vertical="center"/>
    </xf>
    <xf numFmtId="0" fontId="3" fillId="0" borderId="0" xfId="0" applyFont="1" applyAlignment="1">
      <alignment vertical="center"/>
    </xf>
    <xf numFmtId="166" fontId="3" fillId="0" borderId="0" xfId="0" applyNumberFormat="1" applyFont="1" applyAlignment="1">
      <alignment horizontal="left" vertical="center" wrapText="1"/>
    </xf>
    <xf numFmtId="0" fontId="1" fillId="2" borderId="0" xfId="0" applyFont="1" applyFill="1" applyAlignment="1">
      <alignment horizontal="center" vertical="center"/>
    </xf>
    <xf numFmtId="0" fontId="0" fillId="0" borderId="0" xfId="0" applyFont="1" applyAlignment="1"/>
    <xf numFmtId="0" fontId="2" fillId="3"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522" Type="http://schemas.openxmlformats.org/officeDocument/2006/relationships/hyperlink" Target="https://www.youtube.com/channel/UC3Bwzkx1_CQZ4EtBKDUOwNw" TargetMode="External"/><Relationship Id="rId1827" Type="http://schemas.openxmlformats.org/officeDocument/2006/relationships/hyperlink" Target="https://www.lavanguardia.com/politica/20181120/453073801172/joan-tarda-albert-rivera-cada-vez-golpistas-llamaremos-fascista.html" TargetMode="External"/><Relationship Id="rId21" Type="http://schemas.openxmlformats.org/officeDocument/2006/relationships/hyperlink" Target="http://www.noticias24horas.com/ue-albert-rivera-presente-una-mocion-de-censura-o-llegue-a-acuerdos-sobre-lo-acordado-psoe-podemos/" TargetMode="External"/><Relationship Id="rId2089" Type="http://schemas.openxmlformats.org/officeDocument/2006/relationships/hyperlink" Target="https://okdiario.com/espana/2018/11/20/psoe-defiende-indultos-golpistas-rechazando-mocion-ciudadanos-congreso-3373209" TargetMode="External"/><Relationship Id="rId170" Type="http://schemas.openxmlformats.org/officeDocument/2006/relationships/hyperlink" Target="https://twitter.com/mamengoes/status/1065716434414837760" TargetMode="External"/><Relationship Id="rId2296" Type="http://schemas.openxmlformats.org/officeDocument/2006/relationships/hyperlink" Target="https://www.youtube.com/c/ElPeriodistaCamorrista" TargetMode="External"/><Relationship Id="rId268" Type="http://schemas.openxmlformats.org/officeDocument/2006/relationships/hyperlink" Target="https://www.lasexta.com/noticias/nacional/organizacion-mundial-tortura-exige-liberar-inmediatamente-cuixart-sanchez_201811225bf724630cf20582280c4f1c.html" TargetMode="External"/><Relationship Id="rId475" Type="http://schemas.openxmlformats.org/officeDocument/2006/relationships/hyperlink" Target="https://pbs.twimg.com/media/Dsn0Mj3WoAEm-A-.jpg" TargetMode="External"/><Relationship Id="rId682" Type="http://schemas.openxmlformats.org/officeDocument/2006/relationships/hyperlink" Target="https://www.elperiodico.com/es/politica/20181122/albert-rivera-2017-montar-autobus-no-es-hacer-oposicion-7161584" TargetMode="External"/><Relationship Id="rId2156" Type="http://schemas.openxmlformats.org/officeDocument/2006/relationships/hyperlink" Target="http://pic.twitter.com/9uu9170IZ6" TargetMode="External"/><Relationship Id="rId2363" Type="http://schemas.openxmlformats.org/officeDocument/2006/relationships/hyperlink" Target="https://twitter.com/Anfersantos/status/1063781072016719872" TargetMode="External"/><Relationship Id="rId2570" Type="http://schemas.openxmlformats.org/officeDocument/2006/relationships/hyperlink" Target="http://www.ciudadanos-cs.org/" TargetMode="External"/><Relationship Id="rId128" Type="http://schemas.openxmlformats.org/officeDocument/2006/relationships/hyperlink" Target="http://www.lekaconk.com/" TargetMode="External"/><Relationship Id="rId335" Type="http://schemas.openxmlformats.org/officeDocument/2006/relationships/hyperlink" Target="http://about.me/jsscvzqz" TargetMode="External"/><Relationship Id="rId542" Type="http://schemas.openxmlformats.org/officeDocument/2006/relationships/hyperlink" Target="https://www.ciudadanos-cs.org/" TargetMode="External"/><Relationship Id="rId987" Type="http://schemas.openxmlformats.org/officeDocument/2006/relationships/hyperlink" Target="https://www.facebook.com/pages/Partido-Vecinal-Regionalista-PVRE-Chiclana/533261570044114?ref=hl" TargetMode="External"/><Relationship Id="rId1172" Type="http://schemas.openxmlformats.org/officeDocument/2006/relationships/hyperlink" Target="https://pbs.twimg.com/media/Dsi5dANWwAA02hd.jpg" TargetMode="External"/><Relationship Id="rId2016" Type="http://schemas.openxmlformats.org/officeDocument/2006/relationships/hyperlink" Target="http://www.elnacional.cat/" TargetMode="External"/><Relationship Id="rId2223" Type="http://schemas.openxmlformats.org/officeDocument/2006/relationships/hyperlink" Target="https://www.ciudadanos-cs.org/" TargetMode="External"/><Relationship Id="rId2430" Type="http://schemas.openxmlformats.org/officeDocument/2006/relationships/hyperlink" Target="https://pbs.twimg.com/media/Dsc14G6WsAA-Ap2.jpg" TargetMode="External"/><Relationship Id="rId2668" Type="http://schemas.openxmlformats.org/officeDocument/2006/relationships/hyperlink" Target="http://atres.red/prwad1" TargetMode="External"/><Relationship Id="rId402" Type="http://schemas.openxmlformats.org/officeDocument/2006/relationships/hyperlink" Target="https://pbs.twimg.com/media/DsnFfWkU8AAEvC1.jpg" TargetMode="External"/><Relationship Id="rId847" Type="http://schemas.openxmlformats.org/officeDocument/2006/relationships/hyperlink" Target="http://youtu.be/cam34qHb0-Q?a" TargetMode="External"/><Relationship Id="rId1032" Type="http://schemas.openxmlformats.org/officeDocument/2006/relationships/hyperlink" Target="https://www.facebook.com/raulmorenomontana" TargetMode="External"/><Relationship Id="rId1477" Type="http://schemas.openxmlformats.org/officeDocument/2006/relationships/hyperlink" Target="http://cadenaser.com/programa/2018/11/20/hoy_por_hoy/1542712340_800654.html" TargetMode="External"/><Relationship Id="rId1684" Type="http://schemas.openxmlformats.org/officeDocument/2006/relationships/hyperlink" Target="https://twitter.com/albert_rivera/status/1065007691972567041" TargetMode="External"/><Relationship Id="rId1891" Type="http://schemas.openxmlformats.org/officeDocument/2006/relationships/hyperlink" Target="http://pic.twitter.com/5aJO664TQm" TargetMode="External"/><Relationship Id="rId2528" Type="http://schemas.openxmlformats.org/officeDocument/2006/relationships/hyperlink" Target="https://www.elplural.com/sociedad/nieto-franco-atropello-guardias-civiles-absuelto-teruel_204421102" TargetMode="External"/><Relationship Id="rId2735" Type="http://schemas.openxmlformats.org/officeDocument/2006/relationships/hyperlink" Target="http://pic.twitter.com/1btoOdIEul" TargetMode="External"/><Relationship Id="rId707" Type="http://schemas.openxmlformats.org/officeDocument/2006/relationships/hyperlink" Target="https://twitter.com/Albert_Rivera/status/1065580497613537281" TargetMode="External"/><Relationship Id="rId914" Type="http://schemas.openxmlformats.org/officeDocument/2006/relationships/hyperlink" Target="https://www.publico.es/tremending/2018/11/21/por-que-albert-rivera-no-se-atreve-a-decir-que-vox-es-extrema-derecha-twitter-analiza-los-motivos/" TargetMode="External"/><Relationship Id="rId1337" Type="http://schemas.openxmlformats.org/officeDocument/2006/relationships/hyperlink" Target="https://www.lavanguardia.com/politica/20181120/453073801172/joan-tarda-albert-rivera-cada-vez-golpistas-llamaremos-fascista.html?utm_source=facebook&amp;utm_medium=social&amp;utm_content=politica&amp;utm_campaign=lv" TargetMode="External"/><Relationship Id="rId1544" Type="http://schemas.openxmlformats.org/officeDocument/2006/relationships/hyperlink" Target="https://pbs.twimg.com/media/DsgwGuqU8AEeA9d.jpg" TargetMode="External"/><Relationship Id="rId1751" Type="http://schemas.openxmlformats.org/officeDocument/2006/relationships/hyperlink" Target="https://pbs.twimg.com/media/DsgsYiZUwAE_sgx.jpg" TargetMode="External"/><Relationship Id="rId1989" Type="http://schemas.openxmlformats.org/officeDocument/2006/relationships/hyperlink" Target="https://www.linkedin.com/profile/view?id=AAIAAANdfwsBHWzN6SyOvYRmAz6mRv1g_h57PSU&amp;trk=nav_responsive_" TargetMode="External"/><Relationship Id="rId2802" Type="http://schemas.openxmlformats.org/officeDocument/2006/relationships/hyperlink" Target="http://www.juancarlosromero.wordpress.com/" TargetMode="External"/><Relationship Id="rId43" Type="http://schemas.openxmlformats.org/officeDocument/2006/relationships/hyperlink" Target="https://youtu.be/Vn5QOJG3_SM" TargetMode="External"/><Relationship Id="rId1404" Type="http://schemas.openxmlformats.org/officeDocument/2006/relationships/hyperlink" Target="http://www.elclubdelosviernes.org/" TargetMode="External"/><Relationship Id="rId1611" Type="http://schemas.openxmlformats.org/officeDocument/2006/relationships/hyperlink" Target="http://compostela24horas.com/" TargetMode="External"/><Relationship Id="rId1849" Type="http://schemas.openxmlformats.org/officeDocument/2006/relationships/hyperlink" Target="http://pic.twitter.com/arMLaYwf6b" TargetMode="External"/><Relationship Id="rId192" Type="http://schemas.openxmlformats.org/officeDocument/2006/relationships/hyperlink" Target="http://facebook.com/alejandro.ramirezdesilva" TargetMode="External"/><Relationship Id="rId1709" Type="http://schemas.openxmlformats.org/officeDocument/2006/relationships/hyperlink" Target="http://www.guerraeterna.com/" TargetMode="External"/><Relationship Id="rId1916" Type="http://schemas.openxmlformats.org/officeDocument/2006/relationships/hyperlink" Target="https://twitter.com/Albert_Rivera/status/1064968720790011905" TargetMode="External"/><Relationship Id="rId497" Type="http://schemas.openxmlformats.org/officeDocument/2006/relationships/hyperlink" Target="http://www.podemos.info/" TargetMode="External"/><Relationship Id="rId2080" Type="http://schemas.openxmlformats.org/officeDocument/2006/relationships/hyperlink" Target="https://pbs.twimg.com/media/DseFE7fWoAIOdNk.jpg" TargetMode="External"/><Relationship Id="rId2178" Type="http://schemas.openxmlformats.org/officeDocument/2006/relationships/hyperlink" Target="https://pbs.twimg.com/media/Dsd6UVyW0AIVQbn.jpg" TargetMode="External"/><Relationship Id="rId2385" Type="http://schemas.openxmlformats.org/officeDocument/2006/relationships/hyperlink" Target="https://goo.gl/YQ1pdq" TargetMode="External"/><Relationship Id="rId357" Type="http://schemas.openxmlformats.org/officeDocument/2006/relationships/hyperlink" Target="https://www.elmundo.es/espana/2018/11/22/5bf6a067e5fdea356f8b4633.html" TargetMode="External"/><Relationship Id="rId1194" Type="http://schemas.openxmlformats.org/officeDocument/2006/relationships/hyperlink" Target="https://www.youtube.com/channel/UCY60GBj-H8SmayRG1UgDVWw" TargetMode="External"/><Relationship Id="rId2038" Type="http://schemas.openxmlformats.org/officeDocument/2006/relationships/hyperlink" Target="https://www.elespanol.com/espana/politica/20181120/tarda-inaugura-bestia-rivera-golpistas-fascista-fascista/354715638_0.html" TargetMode="External"/><Relationship Id="rId2592" Type="http://schemas.openxmlformats.org/officeDocument/2006/relationships/hyperlink" Target="https://www.huffingtonpost.es/2018/11/19/teresa-rodriguez-llama-albert-primo-de-rivera-a-albert-rivera_a_23594091/" TargetMode="External"/><Relationship Id="rId217" Type="http://schemas.openxmlformats.org/officeDocument/2006/relationships/hyperlink" Target="https://www.veoinfo.com/albert-rivera-confia-en-imponer-su-modelo-para-el-poder-judicial-tras-el-fiasco-de-la-negociacion-de-psoe-y-pp/" TargetMode="External"/><Relationship Id="rId564" Type="http://schemas.openxmlformats.org/officeDocument/2006/relationships/hyperlink" Target="http://pic.twitter.com/KdXM1nCdgu" TargetMode="External"/><Relationship Id="rId771" Type="http://schemas.openxmlformats.org/officeDocument/2006/relationships/hyperlink" Target="http://atres.red/0ovvg1" TargetMode="External"/><Relationship Id="rId869" Type="http://schemas.openxmlformats.org/officeDocument/2006/relationships/hyperlink" Target="https://pbs.twimg.com/media/Dsl5AhbWsAE9H2r.jpg" TargetMode="External"/><Relationship Id="rId1499" Type="http://schemas.openxmlformats.org/officeDocument/2006/relationships/hyperlink" Target="http://www.bitmomentum.com/" TargetMode="External"/><Relationship Id="rId2245" Type="http://schemas.openxmlformats.org/officeDocument/2006/relationships/hyperlink" Target="http://pic.twitter.com/o7hGHxfSDe" TargetMode="External"/><Relationship Id="rId2452" Type="http://schemas.openxmlformats.org/officeDocument/2006/relationships/hyperlink" Target="https://www.abc.es/internacional/abci-eeuu-dispone-incluir-venezuela-lista-patrocinadores-terrorismo-201811200440_noticia.html" TargetMode="External"/><Relationship Id="rId424" Type="http://schemas.openxmlformats.org/officeDocument/2006/relationships/hyperlink" Target="https://www.elmundo.es/espana/2018/11/22/5bf6a067e5fdea356f8b4633.html" TargetMode="External"/><Relationship Id="rId631" Type="http://schemas.openxmlformats.org/officeDocument/2006/relationships/hyperlink" Target="http://atres.red/0ovvg4" TargetMode="External"/><Relationship Id="rId729" Type="http://schemas.openxmlformats.org/officeDocument/2006/relationships/hyperlink" Target="http://shr.gs/UQ5jQbP" TargetMode="External"/><Relationship Id="rId1054" Type="http://schemas.openxmlformats.org/officeDocument/2006/relationships/hyperlink" Target="http://www.cajinesyalbares.com/" TargetMode="External"/><Relationship Id="rId1261" Type="http://schemas.openxmlformats.org/officeDocument/2006/relationships/hyperlink" Target="https://pbs.twimg.com/media/Dsic811WwAAKiZA.jpg" TargetMode="External"/><Relationship Id="rId1359" Type="http://schemas.openxmlformats.org/officeDocument/2006/relationships/hyperlink" Target="https://pbs.twimg.com/media/DsgwGuqU8AEeA9d.jpg" TargetMode="External"/><Relationship Id="rId2105" Type="http://schemas.openxmlformats.org/officeDocument/2006/relationships/hyperlink" Target="https://youtu.be/juba6tfIxxs" TargetMode="External"/><Relationship Id="rId2312" Type="http://schemas.openxmlformats.org/officeDocument/2006/relationships/hyperlink" Target="https://pbs.twimg.com/media/DrAEiU1X4AA2_RC.jpg" TargetMode="External"/><Relationship Id="rId2757" Type="http://schemas.openxmlformats.org/officeDocument/2006/relationships/hyperlink" Target="http://pic.twitter.com/J5ONhaigpw" TargetMode="External"/><Relationship Id="rId936" Type="http://schemas.openxmlformats.org/officeDocument/2006/relationships/hyperlink" Target="https://twitter.com/NievesG80421106/status/1065309820234940416" TargetMode="External"/><Relationship Id="rId1121" Type="http://schemas.openxmlformats.org/officeDocument/2006/relationships/hyperlink" Target="http://flip.it/HQAwji" TargetMode="External"/><Relationship Id="rId1219" Type="http://schemas.openxmlformats.org/officeDocument/2006/relationships/hyperlink" Target="http://www.imdb.com/rg/em_share/rt_iphone/name/nm2268479" TargetMode="External"/><Relationship Id="rId1566" Type="http://schemas.openxmlformats.org/officeDocument/2006/relationships/hyperlink" Target="https://pbs.twimg.com/media/DshUEF4WoAE5hJE.jpg" TargetMode="External"/><Relationship Id="rId1773" Type="http://schemas.openxmlformats.org/officeDocument/2006/relationships/hyperlink" Target="https://www.eljueves.es/news/albert-rivera-se-pasa-flamenco-para-conseguirse-unos-grammys-2_2958" TargetMode="External"/><Relationship Id="rId1980" Type="http://schemas.openxmlformats.org/officeDocument/2006/relationships/hyperlink" Target="https://youtu.be/NVSW54BAaOM" TargetMode="External"/><Relationship Id="rId2617" Type="http://schemas.openxmlformats.org/officeDocument/2006/relationships/hyperlink" Target="http://pic.twitter.com/GrXSWFBcJF" TargetMode="External"/><Relationship Id="rId65" Type="http://schemas.openxmlformats.org/officeDocument/2006/relationships/hyperlink" Target="https://www.lapandereta.es/duro-golpe-presidente-defensores-pueblo-ciudadanos/" TargetMode="External"/><Relationship Id="rId1426" Type="http://schemas.openxmlformats.org/officeDocument/2006/relationships/hyperlink" Target="http://pic.twitter.com/duNJDcLEQ4" TargetMode="External"/><Relationship Id="rId1633" Type="http://schemas.openxmlformats.org/officeDocument/2006/relationships/hyperlink" Target="https://m.eldiario.es/politica/Rivera-catalogar-Vox-extremadrecha-analista_0_838166254.html" TargetMode="External"/><Relationship Id="rId1840" Type="http://schemas.openxmlformats.org/officeDocument/2006/relationships/hyperlink" Target="https://goo.gl/jEN7ak" TargetMode="External"/><Relationship Id="rId1700" Type="http://schemas.openxmlformats.org/officeDocument/2006/relationships/hyperlink" Target="https://www.lavanguardia.com/politica/20181120/453073801172/joan-tarda-albert-rivera-cada-vez-golpistas-llamaremos-fascista.html" TargetMode="External"/><Relationship Id="rId1938" Type="http://schemas.openxmlformats.org/officeDocument/2006/relationships/hyperlink" Target="https://twitter.com/jordi_canyas/status/1064990394692354048" TargetMode="External"/><Relationship Id="rId281" Type="http://schemas.openxmlformats.org/officeDocument/2006/relationships/hyperlink" Target="http://www.banquilleros.com/" TargetMode="External"/><Relationship Id="rId141" Type="http://schemas.openxmlformats.org/officeDocument/2006/relationships/hyperlink" Target="http://www.esdiario.com/" TargetMode="External"/><Relationship Id="rId379" Type="http://schemas.openxmlformats.org/officeDocument/2006/relationships/hyperlink" Target="https://www.elmundo.es/espana/2018/11/22/5bf6a067e5fdea356f8b4633.html" TargetMode="External"/><Relationship Id="rId586" Type="http://schemas.openxmlformats.org/officeDocument/2006/relationships/hyperlink" Target="https://www.elmundo.es/espana/2018/11/22/5bf6a067e5fdea356f8b4633.html" TargetMode="External"/><Relationship Id="rId793" Type="http://schemas.openxmlformats.org/officeDocument/2006/relationships/hyperlink" Target="http://www.lavanguardia.com/" TargetMode="External"/><Relationship Id="rId2267" Type="http://schemas.openxmlformats.org/officeDocument/2006/relationships/hyperlink" Target="http://youtu.be/Vvvq1GenBy4?a" TargetMode="External"/><Relationship Id="rId2474" Type="http://schemas.openxmlformats.org/officeDocument/2006/relationships/hyperlink" Target="http://roquetasdemar.ciudadanos-cs.org/" TargetMode="External"/><Relationship Id="rId2681" Type="http://schemas.openxmlformats.org/officeDocument/2006/relationships/hyperlink" Target="https://pbs.twimg.com/media/DsbqUFjWsAEuNYy.jpg" TargetMode="External"/><Relationship Id="rId7" Type="http://schemas.openxmlformats.org/officeDocument/2006/relationships/hyperlink" Target="http://instagram.com/ubaldosg96" TargetMode="External"/><Relationship Id="rId239" Type="http://schemas.openxmlformats.org/officeDocument/2006/relationships/hyperlink" Target="http://www.bitmomentum.com/" TargetMode="External"/><Relationship Id="rId446" Type="http://schemas.openxmlformats.org/officeDocument/2006/relationships/hyperlink" Target="https://elpais.com/politica/2018/11/22/actualidad/1542883703_719013.html" TargetMode="External"/><Relationship Id="rId653" Type="http://schemas.openxmlformats.org/officeDocument/2006/relationships/hyperlink" Target="https://www.elnacional.cat/es/politica/albert-rivera-acusa-independentistas-escupir-espana_327351_102.html" TargetMode="External"/><Relationship Id="rId1076" Type="http://schemas.openxmlformats.org/officeDocument/2006/relationships/hyperlink" Target="https://curiouscat.me/DafneStark_" TargetMode="External"/><Relationship Id="rId1283" Type="http://schemas.openxmlformats.org/officeDocument/2006/relationships/hyperlink" Target="http://manutenorio2.blogspot.com/" TargetMode="External"/><Relationship Id="rId1490" Type="http://schemas.openxmlformats.org/officeDocument/2006/relationships/hyperlink" Target="https://pbs.twimg.com/media/DshOTWHWkAEiZNh.jpg" TargetMode="External"/><Relationship Id="rId2127" Type="http://schemas.openxmlformats.org/officeDocument/2006/relationships/hyperlink" Target="https://youtu.be/q3y3WyvX06A" TargetMode="External"/><Relationship Id="rId2334" Type="http://schemas.openxmlformats.org/officeDocument/2006/relationships/hyperlink" Target="http://pic.twitter.com/0b9cEXqQbO" TargetMode="External"/><Relationship Id="rId2779" Type="http://schemas.openxmlformats.org/officeDocument/2006/relationships/hyperlink" Target="https://pbs.twimg.com/media/DsZkpGhX4AMCquN.jpg" TargetMode="External"/><Relationship Id="rId306" Type="http://schemas.openxmlformats.org/officeDocument/2006/relationships/hyperlink" Target="https://www.instagram.com/silviafilosofadepacotilla/" TargetMode="External"/><Relationship Id="rId860" Type="http://schemas.openxmlformats.org/officeDocument/2006/relationships/hyperlink" Target="http://pic.twitter.com/8ce98B7Kt2" TargetMode="External"/><Relationship Id="rId958" Type="http://schemas.openxmlformats.org/officeDocument/2006/relationships/hyperlink" Target="http://www.convivenciaysolidaridad.blogspot.com/" TargetMode="External"/><Relationship Id="rId1143" Type="http://schemas.openxmlformats.org/officeDocument/2006/relationships/hyperlink" Target="https://twitter.com/CUP_Gava/status/1065201608143835136" TargetMode="External"/><Relationship Id="rId1588" Type="http://schemas.openxmlformats.org/officeDocument/2006/relationships/hyperlink" Target="http://shr.gs/2BZ91UW" TargetMode="External"/><Relationship Id="rId1795" Type="http://schemas.openxmlformats.org/officeDocument/2006/relationships/hyperlink" Target="https://www.lavanguardia.com/politica/20181120/453073801172/joan-tarda-albert-rivera-cada-vez-golpistas-llamaremos-fascista.html" TargetMode="External"/><Relationship Id="rId2541" Type="http://schemas.openxmlformats.org/officeDocument/2006/relationships/hyperlink" Target="http://topinfluencers.es/" TargetMode="External"/><Relationship Id="rId2639" Type="http://schemas.openxmlformats.org/officeDocument/2006/relationships/hyperlink" Target="https://youtu.be/dV8LtyCaghk" TargetMode="External"/><Relationship Id="rId87" Type="http://schemas.openxmlformats.org/officeDocument/2006/relationships/hyperlink" Target="https://www.youtube.com/c/ElPeriodistaCamorrista" TargetMode="External"/><Relationship Id="rId513" Type="http://schemas.openxmlformats.org/officeDocument/2006/relationships/hyperlink" Target="http://www.ciudadanos-cs.org/" TargetMode="External"/><Relationship Id="rId720" Type="http://schemas.openxmlformats.org/officeDocument/2006/relationships/hyperlink" Target="http://www.servimedia.es/" TargetMode="External"/><Relationship Id="rId818" Type="http://schemas.openxmlformats.org/officeDocument/2006/relationships/hyperlink" Target="http://www.ciudadanos-cs.org/" TargetMode="External"/><Relationship Id="rId1350" Type="http://schemas.openxmlformats.org/officeDocument/2006/relationships/hyperlink" Target="http://tremending.publico.es/" TargetMode="External"/><Relationship Id="rId1448" Type="http://schemas.openxmlformats.org/officeDocument/2006/relationships/hyperlink" Target="https://pbs.twimg.com/media/DshvpkJX4AEZpod.jpg" TargetMode="External"/><Relationship Id="rId1655" Type="http://schemas.openxmlformats.org/officeDocument/2006/relationships/hyperlink" Target="http://contracobardes.blogspot.com.es/?m=1" TargetMode="External"/><Relationship Id="rId2401" Type="http://schemas.openxmlformats.org/officeDocument/2006/relationships/hyperlink" Target="https://www.ciudadanos-cs.org/" TargetMode="External"/><Relationship Id="rId2706" Type="http://schemas.openxmlformats.org/officeDocument/2006/relationships/hyperlink" Target="https://www.elmundo.es/cataluna/2018/11/20/5bf30ac5468aeb7a7e8b4607.html" TargetMode="External"/><Relationship Id="rId1003" Type="http://schemas.openxmlformats.org/officeDocument/2006/relationships/hyperlink" Target="https://pbs.twimg.com/media/Dsjo6TBXcAcf-nM.jpg" TargetMode="External"/><Relationship Id="rId1210" Type="http://schemas.openxmlformats.org/officeDocument/2006/relationships/hyperlink" Target="https://twitter.com/Cazatalentos/status/1064955062957600768" TargetMode="External"/><Relationship Id="rId1308" Type="http://schemas.openxmlformats.org/officeDocument/2006/relationships/hyperlink" Target="https://pbs.twimg.com/media/DsgwGuqU8AEeA9d.jpg" TargetMode="External"/><Relationship Id="rId1862" Type="http://schemas.openxmlformats.org/officeDocument/2006/relationships/hyperlink" Target="https://www.huffingtonpost.es/2018/11/20/la-respuesta-de-atresmedia-a-albert-rivera-por-lo-que-ha-dicho-sobre-la-casa-de-papel_a_23594976/" TargetMode="External"/><Relationship Id="rId1515" Type="http://schemas.openxmlformats.org/officeDocument/2006/relationships/hyperlink" Target="https://pbs.twimg.com/media/DshiXH8XgAEqKtA.jpg" TargetMode="External"/><Relationship Id="rId1722" Type="http://schemas.openxmlformats.org/officeDocument/2006/relationships/hyperlink" Target="http://elpais.com/autor/miguel_angel_medina/a/" TargetMode="External"/><Relationship Id="rId14" Type="http://schemas.openxmlformats.org/officeDocument/2006/relationships/hyperlink" Target="http://about.me/adrianmunoz" TargetMode="External"/><Relationship Id="rId2191" Type="http://schemas.openxmlformats.org/officeDocument/2006/relationships/hyperlink" Target="http://atres.red/2qo6r1" TargetMode="External"/><Relationship Id="rId163" Type="http://schemas.openxmlformats.org/officeDocument/2006/relationships/hyperlink" Target="https://www.ciudadanos-cs.org/" TargetMode="External"/><Relationship Id="rId370" Type="http://schemas.openxmlformats.org/officeDocument/2006/relationships/hyperlink" Target="https://elpais.com/internacional/2018/11/22/actualidad/1542891796_421870.html" TargetMode="External"/><Relationship Id="rId2051" Type="http://schemas.openxmlformats.org/officeDocument/2006/relationships/hyperlink" Target="http://pic.twitter.com/Sr1EHfTjT6" TargetMode="External"/><Relationship Id="rId2289" Type="http://schemas.openxmlformats.org/officeDocument/2006/relationships/hyperlink" Target="http://www.ciudadanos-cs.org/" TargetMode="External"/><Relationship Id="rId2496" Type="http://schemas.openxmlformats.org/officeDocument/2006/relationships/hyperlink" Target="https://www.lanzadigital.com/castilla-la-mancha/abalos-responde-a-garcia-page-que-albert-rivera-no-tendria-cabida-en-el-psoe-en-el-que-el-se-afilio/" TargetMode="External"/><Relationship Id="rId230" Type="http://schemas.openxmlformats.org/officeDocument/2006/relationships/hyperlink" Target="http://www.bitmomentum.com/" TargetMode="External"/><Relationship Id="rId468" Type="http://schemas.openxmlformats.org/officeDocument/2006/relationships/hyperlink" Target="https://www.elmundo.es/espana/2018/11/22/5bf6a067e5fdea356f8b4633.html" TargetMode="External"/><Relationship Id="rId675" Type="http://schemas.openxmlformats.org/officeDocument/2006/relationships/hyperlink" Target="https://twitter.com/silvi_ta/status/1065344900391145472" TargetMode="External"/><Relationship Id="rId882" Type="http://schemas.openxmlformats.org/officeDocument/2006/relationships/hyperlink" Target="http://unmundo-pordelante.blogspot.com.es/" TargetMode="External"/><Relationship Id="rId1098" Type="http://schemas.openxmlformats.org/officeDocument/2006/relationships/hyperlink" Target="http://pic.twitter.com/1SMheT6lSB" TargetMode="External"/><Relationship Id="rId2149" Type="http://schemas.openxmlformats.org/officeDocument/2006/relationships/hyperlink" Target="http://www.lextres.com/" TargetMode="External"/><Relationship Id="rId2356" Type="http://schemas.openxmlformats.org/officeDocument/2006/relationships/hyperlink" Target="https://www.youtube.com/c/ElPeriodistaCamorrista" TargetMode="External"/><Relationship Id="rId2563" Type="http://schemas.openxmlformats.org/officeDocument/2006/relationships/hyperlink" Target="http://www.lacerca.com/noticias/castilla_la_mancha/abalos-responde-garcia-page-albert-rivera-psoe-afilio-445654-1.html" TargetMode="External"/><Relationship Id="rId2770" Type="http://schemas.openxmlformats.org/officeDocument/2006/relationships/hyperlink" Target="https://www.huffingtonpost.es/2018/11/19/teresa-rodriguez-llama-albert-primo-de-rivera-a-albert-rivera_a_23594091/" TargetMode="External"/><Relationship Id="rId328" Type="http://schemas.openxmlformats.org/officeDocument/2006/relationships/hyperlink" Target="http://j.mp/SHr2ve" TargetMode="External"/><Relationship Id="rId535" Type="http://schemas.openxmlformats.org/officeDocument/2006/relationships/hyperlink" Target="http://madrid.democraciarealya.es/" TargetMode="External"/><Relationship Id="rId742" Type="http://schemas.openxmlformats.org/officeDocument/2006/relationships/hyperlink" Target="https://www.ciudadanos-cs.org/" TargetMode="External"/><Relationship Id="rId1165" Type="http://schemas.openxmlformats.org/officeDocument/2006/relationships/hyperlink" Target="http://page.is/R.Torres" TargetMode="External"/><Relationship Id="rId1372" Type="http://schemas.openxmlformats.org/officeDocument/2006/relationships/hyperlink" Target="https://pbs.twimg.com/media/DsgwGuqU8AEeA9d.jpg" TargetMode="External"/><Relationship Id="rId2009" Type="http://schemas.openxmlformats.org/officeDocument/2006/relationships/hyperlink" Target="http://pic.twitter.com/Y7UR4kQ51P" TargetMode="External"/><Relationship Id="rId2216" Type="http://schemas.openxmlformats.org/officeDocument/2006/relationships/hyperlink" Target="http://www.elperiodico.com/" TargetMode="External"/><Relationship Id="rId2423" Type="http://schemas.openxmlformats.org/officeDocument/2006/relationships/hyperlink" Target="https://www.elmundo.es/espana/2018/11/20/5bf3e474e2704ec6568b4825.html" TargetMode="External"/><Relationship Id="rId2630" Type="http://schemas.openxmlformats.org/officeDocument/2006/relationships/hyperlink" Target="http://www.ciudadanos-cs.org/" TargetMode="External"/><Relationship Id="rId602" Type="http://schemas.openxmlformats.org/officeDocument/2006/relationships/hyperlink" Target="http://pic.twitter.com/oX5Iot5J2j" TargetMode="External"/><Relationship Id="rId1025" Type="http://schemas.openxmlformats.org/officeDocument/2006/relationships/hyperlink" Target="http://pic.twitter.com/0MDPTJip5Y" TargetMode="External"/><Relationship Id="rId1232" Type="http://schemas.openxmlformats.org/officeDocument/2006/relationships/hyperlink" Target="https://www.elplural.com/politica/albert-rivera-copia-modelo-bus-propagandista-que-critico-a-podemos_206760102" TargetMode="External"/><Relationship Id="rId1677" Type="http://schemas.openxmlformats.org/officeDocument/2006/relationships/hyperlink" Target="http://www.bitmomentum.com/" TargetMode="External"/><Relationship Id="rId1884" Type="http://schemas.openxmlformats.org/officeDocument/2006/relationships/hyperlink" Target="http://ramblalibre.com/2018/11/20/joan-tarda-pasa-el-rubicon-y-llama-fascista-a-albert-rivera-en-el-congreso/" TargetMode="External"/><Relationship Id="rId2728" Type="http://schemas.openxmlformats.org/officeDocument/2006/relationships/hyperlink" Target="https://www.huffingtonpost.es/2018/11/19/teresa-rodriguez-llama-albert-primo-de-rivera-a-albert-rivera_a_23594091/" TargetMode="External"/><Relationship Id="rId907" Type="http://schemas.openxmlformats.org/officeDocument/2006/relationships/hyperlink" Target="https://www.publico.es/tremending/2018/11/21/por-que-albert-rivera-no-se-atreve-a-decir-que-vox-es-extrema-derecha-twitter-analiza-los-motivos/" TargetMode="External"/><Relationship Id="rId1537" Type="http://schemas.openxmlformats.org/officeDocument/2006/relationships/hyperlink" Target="http://pic.twitter.com/1BRXaNUlcb" TargetMode="External"/><Relationship Id="rId1744" Type="http://schemas.openxmlformats.org/officeDocument/2006/relationships/hyperlink" Target="https://www.paypal.com/webapps/shoppingcart?mfid=1542787076856_e961b30570d95&amp;flowlogging_id=e961b305" TargetMode="External"/><Relationship Id="rId1951" Type="http://schemas.openxmlformats.org/officeDocument/2006/relationships/hyperlink" Target="https://pbs.twimg.com/media/Dsebi8lWsAANkfO.jpg" TargetMode="External"/><Relationship Id="rId36" Type="http://schemas.openxmlformats.org/officeDocument/2006/relationships/hyperlink" Target="http://movimiento-social.webnode.es/" TargetMode="External"/><Relationship Id="rId1604" Type="http://schemas.openxmlformats.org/officeDocument/2006/relationships/hyperlink" Target="https://bit.ly/2PYjPtE" TargetMode="External"/><Relationship Id="rId185" Type="http://schemas.openxmlformats.org/officeDocument/2006/relationships/hyperlink" Target="https://pbs.twimg.com/media/DsrHxlmU4AASSTU.jpg" TargetMode="External"/><Relationship Id="rId1811" Type="http://schemas.openxmlformats.org/officeDocument/2006/relationships/hyperlink" Target="https://pbs.twimg.com/media/DsfbFIVX4AAOv2x.jpg" TargetMode="External"/><Relationship Id="rId1909" Type="http://schemas.openxmlformats.org/officeDocument/2006/relationships/hyperlink" Target="http://www.lacerca.com/noticias/espana/ciudadanos-marin-pp-psoe-senores-sanchez-casado-saquen-445819-1.html" TargetMode="External"/><Relationship Id="rId392" Type="http://schemas.openxmlformats.org/officeDocument/2006/relationships/hyperlink" Target="https://www.linkedin.com/in/jos%C3%A9-eriel-muniz-gomez-39185a103" TargetMode="External"/><Relationship Id="rId697" Type="http://schemas.openxmlformats.org/officeDocument/2006/relationships/hyperlink" Target="http://www.lacerca.com/noticias/espana/rivera-sanchez-le-manos-frankenstein-iglesias-torra-bildu-446149-1.html" TargetMode="External"/><Relationship Id="rId2073" Type="http://schemas.openxmlformats.org/officeDocument/2006/relationships/hyperlink" Target="https://youtu.be/Rj-R7Ex9YKE" TargetMode="External"/><Relationship Id="rId2280" Type="http://schemas.openxmlformats.org/officeDocument/2006/relationships/hyperlink" Target="http://pic.twitter.com/VlBe54UXGK" TargetMode="External"/><Relationship Id="rId2378" Type="http://schemas.openxmlformats.org/officeDocument/2006/relationships/hyperlink" Target="https://bit.ly/2S5YPi4" TargetMode="External"/><Relationship Id="rId252" Type="http://schemas.openxmlformats.org/officeDocument/2006/relationships/hyperlink" Target="https://www.elmundo.es/espana/2018/11/22/5bf6a067e5fdea356f8b4633.html" TargetMode="External"/><Relationship Id="rId1187" Type="http://schemas.openxmlformats.org/officeDocument/2006/relationships/hyperlink" Target="http://www.ciudadanos-cs.org/" TargetMode="External"/><Relationship Id="rId2140" Type="http://schemas.openxmlformats.org/officeDocument/2006/relationships/hyperlink" Target="https://www.youtube.com/watch?v=D62g8svIjSc&amp;feature=youtu.be" TargetMode="External"/><Relationship Id="rId2585" Type="http://schemas.openxmlformats.org/officeDocument/2006/relationships/hyperlink" Target="https://www.eldigitalcastillalamancha.es/actualidad/824864035/Contundente-respuesta-de-Abalos-a-Page-por-el-guino-que-hizo-a-Albert-Rivera.html" TargetMode="External"/><Relationship Id="rId2792" Type="http://schemas.openxmlformats.org/officeDocument/2006/relationships/hyperlink" Target="https://pbs.twimg.com/media/DsEppU8WkAY9HFE.jpg" TargetMode="External"/><Relationship Id="rId112" Type="http://schemas.openxmlformats.org/officeDocument/2006/relationships/hyperlink" Target="https://rosamembrado.wordpress.com/" TargetMode="External"/><Relationship Id="rId557" Type="http://schemas.openxmlformats.org/officeDocument/2006/relationships/hyperlink" Target="http://www.bitmomentum.com/" TargetMode="External"/><Relationship Id="rId764" Type="http://schemas.openxmlformats.org/officeDocument/2006/relationships/hyperlink" Target="http://divergenciax.wordpress.com/" TargetMode="External"/><Relationship Id="rId971" Type="http://schemas.openxmlformats.org/officeDocument/2006/relationships/hyperlink" Target="https://twitter.com/CiudadanosCs/status/1065369137474609152" TargetMode="External"/><Relationship Id="rId1394" Type="http://schemas.openxmlformats.org/officeDocument/2006/relationships/hyperlink" Target="http://telemd.es/_jwiu2" TargetMode="External"/><Relationship Id="rId1699" Type="http://schemas.openxmlformats.org/officeDocument/2006/relationships/hyperlink" Target="https://m.eldiario.es/_31f566ee" TargetMode="External"/><Relationship Id="rId2000" Type="http://schemas.openxmlformats.org/officeDocument/2006/relationships/hyperlink" Target="https://lascenizasdetroya.wordpress.com/" TargetMode="External"/><Relationship Id="rId2238" Type="http://schemas.openxmlformats.org/officeDocument/2006/relationships/hyperlink" Target="https://www.elmundo.es/espana/2018/11/20/5bf3e474e2704ec6568b4825.html" TargetMode="External"/><Relationship Id="rId2445" Type="http://schemas.openxmlformats.org/officeDocument/2006/relationships/hyperlink" Target="http://pic.twitter.com/FwdgBuzPME" TargetMode="External"/><Relationship Id="rId2652" Type="http://schemas.openxmlformats.org/officeDocument/2006/relationships/hyperlink" Target="http://www.monteromartos.com/" TargetMode="External"/><Relationship Id="rId417" Type="http://schemas.openxmlformats.org/officeDocument/2006/relationships/hyperlink" Target="https://pbs.twimg.com/media/DsiIOK8XoAEKDjY.jpg" TargetMode="External"/><Relationship Id="rId624" Type="http://schemas.openxmlformats.org/officeDocument/2006/relationships/hyperlink" Target="http://www.ciudadanos-cs.org/" TargetMode="External"/><Relationship Id="rId831" Type="http://schemas.openxmlformats.org/officeDocument/2006/relationships/hyperlink" Target="https://pbs.twimg.com/media/DsmH7paXcAAoTSF.jpg" TargetMode="External"/><Relationship Id="rId1047" Type="http://schemas.openxmlformats.org/officeDocument/2006/relationships/hyperlink" Target="https://www.antena3.com/noticias/espana/rivera-no-quiere-calificar-a-vox-de-ultra-video_201811215bf572bc0cf25d64f623e7b0.html" TargetMode="External"/><Relationship Id="rId1254" Type="http://schemas.openxmlformats.org/officeDocument/2006/relationships/hyperlink" Target="https://pbs.twimg.com/media/Dsh4V7mW0AAD0MV.jpg" TargetMode="External"/><Relationship Id="rId1461" Type="http://schemas.openxmlformats.org/officeDocument/2006/relationships/hyperlink" Target="https://youtu.be/RQtT__tQB_4" TargetMode="External"/><Relationship Id="rId2305" Type="http://schemas.openxmlformats.org/officeDocument/2006/relationships/hyperlink" Target="http://www.huffingtonpost.es/" TargetMode="External"/><Relationship Id="rId2512" Type="http://schemas.openxmlformats.org/officeDocument/2006/relationships/hyperlink" Target="https://www.elnacional.cat/enblau/ca/televisio/susanna-griso-albert-rivera-luis-alfonso-borbon_326550_102.html" TargetMode="External"/><Relationship Id="rId929" Type="http://schemas.openxmlformats.org/officeDocument/2006/relationships/hyperlink" Target="https://www.publico.es/tremending/2018/11/21/por-que-albert-rivera-no-se-atreve-a-decir-que-vox-es-extrema-derecha-twitter-analiza-los-motivos/?utm_source=twitter&amp;utm_medium=social&amp;utm_campaign=publico" TargetMode="External"/><Relationship Id="rId1114" Type="http://schemas.openxmlformats.org/officeDocument/2006/relationships/hyperlink" Target="https://pbs.twimg.com/media/DsjJTSAXcAAZ2ZZ.jpg" TargetMode="External"/><Relationship Id="rId1321" Type="http://schemas.openxmlformats.org/officeDocument/2006/relationships/hyperlink" Target="https://www.publico.es/tremending/2018/11/21/por-que-albert-rivera-no-se-atreve-a-decir-que-vox-es-extrema-derecha-twitter-analiza-los-motivos/" TargetMode="External"/><Relationship Id="rId1559" Type="http://schemas.openxmlformats.org/officeDocument/2006/relationships/hyperlink" Target="https://telegram.me/ecorepublicano" TargetMode="External"/><Relationship Id="rId1766" Type="http://schemas.openxmlformats.org/officeDocument/2006/relationships/hyperlink" Target="http://cadenaser.com/programa/2018/11/20/hoy_por_hoy/1542712340_800654.html?ssm=tw-hxh" TargetMode="External"/><Relationship Id="rId1973" Type="http://schemas.openxmlformats.org/officeDocument/2006/relationships/hyperlink" Target="http://www.bitmomentum.com/" TargetMode="External"/><Relationship Id="rId58" Type="http://schemas.openxmlformats.org/officeDocument/2006/relationships/hyperlink" Target="https://pbs.twimg.com/media/DssJu__XgAAou9g.jpg" TargetMode="External"/><Relationship Id="rId1419" Type="http://schemas.openxmlformats.org/officeDocument/2006/relationships/hyperlink" Target="http://www.ciudadanos-cs.org/" TargetMode="External"/><Relationship Id="rId1626" Type="http://schemas.openxmlformats.org/officeDocument/2006/relationships/hyperlink" Target="https://pbs.twimg.com/media/DshJF7qXgAAmBj3.jpg" TargetMode="External"/><Relationship Id="rId1833" Type="http://schemas.openxmlformats.org/officeDocument/2006/relationships/hyperlink" Target="https://ift.tt/2DxlZd8" TargetMode="External"/><Relationship Id="rId1900" Type="http://schemas.openxmlformats.org/officeDocument/2006/relationships/hyperlink" Target="http://shr.gs/KxIcSkQ" TargetMode="External"/><Relationship Id="rId2095" Type="http://schemas.openxmlformats.org/officeDocument/2006/relationships/hyperlink" Target="http://www.cuatro.com/noticias" TargetMode="External"/><Relationship Id="rId274" Type="http://schemas.openxmlformats.org/officeDocument/2006/relationships/hyperlink" Target="https://twitter.com/CiudadanosCs/status/1065309140078264327" TargetMode="External"/><Relationship Id="rId481" Type="http://schemas.openxmlformats.org/officeDocument/2006/relationships/hyperlink" Target="https://pbs.twimg.com/media/Dsn0Q1bU4AQvZoB.jpg" TargetMode="External"/><Relationship Id="rId2162" Type="http://schemas.openxmlformats.org/officeDocument/2006/relationships/hyperlink" Target="https://www.youtube.com/channel/UCzAeV22GnQxwUBokDOEyb4A" TargetMode="External"/><Relationship Id="rId134" Type="http://schemas.openxmlformats.org/officeDocument/2006/relationships/hyperlink" Target="https://www.facebook.com/profile.php?id=100011075051553" TargetMode="External"/><Relationship Id="rId579" Type="http://schemas.openxmlformats.org/officeDocument/2006/relationships/hyperlink" Target="https://www.elmundo.es/espana/2018/11/22/5bf6a067e5fdea356f8b4633.html" TargetMode="External"/><Relationship Id="rId786" Type="http://schemas.openxmlformats.org/officeDocument/2006/relationships/hyperlink" Target="http://sweetoldies.wordpress.com/" TargetMode="External"/><Relationship Id="rId993" Type="http://schemas.openxmlformats.org/officeDocument/2006/relationships/hyperlink" Target="http://www.etnikal.es/" TargetMode="External"/><Relationship Id="rId2467" Type="http://schemas.openxmlformats.org/officeDocument/2006/relationships/hyperlink" Target="https://elpais.com/politica/2018/11/20/actualidad/1542713687_705619.amp.html?id_externo_rsoc=TW_Bot&amp;__twitter_impression=true" TargetMode="External"/><Relationship Id="rId2674" Type="http://schemas.openxmlformats.org/officeDocument/2006/relationships/hyperlink" Target="https://www.elmundo.es/cataluna/2018/11/20/5bf30ac5468aeb7a7e8b4607.html" TargetMode="External"/><Relationship Id="rId341" Type="http://schemas.openxmlformats.org/officeDocument/2006/relationships/hyperlink" Target="https://www.instagram.com/nicarpio_da/" TargetMode="External"/><Relationship Id="rId439" Type="http://schemas.openxmlformats.org/officeDocument/2006/relationships/hyperlink" Target="https://www.elmundo.es/espana/2018/11/22/5bf6a067e5fdea356f8b4633.html" TargetMode="External"/><Relationship Id="rId646" Type="http://schemas.openxmlformats.org/officeDocument/2006/relationships/hyperlink" Target="https://www.elmundo.es/espana/2018/11/22/5bf6a067e5fdea356f8b4633.html" TargetMode="External"/><Relationship Id="rId1069" Type="http://schemas.openxmlformats.org/officeDocument/2006/relationships/hyperlink" Target="https://www.elplural.com/politica/albert-rivera-extrema-derecha-vox-respuesta-entrevista_206736102" TargetMode="External"/><Relationship Id="rId1276" Type="http://schemas.openxmlformats.org/officeDocument/2006/relationships/hyperlink" Target="http://pic.twitter.com/n03ukAGrhm" TargetMode="External"/><Relationship Id="rId1483" Type="http://schemas.openxmlformats.org/officeDocument/2006/relationships/hyperlink" Target="http://www.publico.es/" TargetMode="External"/><Relationship Id="rId2022" Type="http://schemas.openxmlformats.org/officeDocument/2006/relationships/hyperlink" Target="https://twitter.com/Albert_Rivera/status/1064833864089174018" TargetMode="External"/><Relationship Id="rId2327" Type="http://schemas.openxmlformats.org/officeDocument/2006/relationships/hyperlink" Target="https://youtu.be/C4hpa5dCKAo" TargetMode="External"/><Relationship Id="rId201" Type="http://schemas.openxmlformats.org/officeDocument/2006/relationships/hyperlink" Target="https://twitter.com/mamengoes/status/1065716434414837760" TargetMode="External"/><Relationship Id="rId506" Type="http://schemas.openxmlformats.org/officeDocument/2006/relationships/hyperlink" Target="https://www.elmundo.es/espana/2018/11/22/5bf6a067e5fdea356f8b4633.html" TargetMode="External"/><Relationship Id="rId853" Type="http://schemas.openxmlformats.org/officeDocument/2006/relationships/hyperlink" Target="https://www.publico.es/tremending/2018/11/21/por-que-albert-rivera-no-se-atreve-a-decir-que-vox-es-extrema-derecha-twitter-analiza-los-motivos/" TargetMode="External"/><Relationship Id="rId1136" Type="http://schemas.openxmlformats.org/officeDocument/2006/relationships/hyperlink" Target="http://www.publico.es/" TargetMode="External"/><Relationship Id="rId1690" Type="http://schemas.openxmlformats.org/officeDocument/2006/relationships/hyperlink" Target="https://www.ciudadanos-cs.org/prensa/rivera-lo-unico-bueno-que-sanchez-puede-hacer-en-lo-que-queda-de-legislatura-es-el-decreto-de-convocatoria-de-elecciones/11083" TargetMode="External"/><Relationship Id="rId1788" Type="http://schemas.openxmlformats.org/officeDocument/2006/relationships/hyperlink" Target="https://projecto2019vendre.wixsite.com/tatarlak" TargetMode="External"/><Relationship Id="rId1995" Type="http://schemas.openxmlformats.org/officeDocument/2006/relationships/hyperlink" Target="https://youtu.be/V9YYQDqha-Q?eza79=5980214040" TargetMode="External"/><Relationship Id="rId2534" Type="http://schemas.openxmlformats.org/officeDocument/2006/relationships/hyperlink" Target="http://www.bitmomentum.com/" TargetMode="External"/><Relationship Id="rId2741" Type="http://schemas.openxmlformats.org/officeDocument/2006/relationships/hyperlink" Target="https://youtu.be/VEJIhwtlefM" TargetMode="External"/><Relationship Id="rId713" Type="http://schemas.openxmlformats.org/officeDocument/2006/relationships/hyperlink" Target="http://www.europapress.tv/" TargetMode="External"/><Relationship Id="rId920" Type="http://schemas.openxmlformats.org/officeDocument/2006/relationships/hyperlink" Target="https://pbs.twimg.com/media/DsgwGuqU8AEeA9d.jpg" TargetMode="External"/><Relationship Id="rId1343" Type="http://schemas.openxmlformats.org/officeDocument/2006/relationships/hyperlink" Target="https://www.elplural.com/politica/albert-rivera-copia-modelo-bus-propagandista-que-critico-a-podemos_206760102" TargetMode="External"/><Relationship Id="rId1550" Type="http://schemas.openxmlformats.org/officeDocument/2006/relationships/hyperlink" Target="https://www.ciudadanos-cs.org/" TargetMode="External"/><Relationship Id="rId1648" Type="http://schemas.openxmlformats.org/officeDocument/2006/relationships/hyperlink" Target="http://www.elplural.com/" TargetMode="External"/><Relationship Id="rId2601" Type="http://schemas.openxmlformats.org/officeDocument/2006/relationships/hyperlink" Target="https://stopfamilyevictions.blogspot.com.es/" TargetMode="External"/><Relationship Id="rId1203" Type="http://schemas.openxmlformats.org/officeDocument/2006/relationships/hyperlink" Target="https://pbs.twimg.com/media/Dsh4_XYWkAEmPTa.jpg" TargetMode="External"/><Relationship Id="rId1410" Type="http://schemas.openxmlformats.org/officeDocument/2006/relationships/hyperlink" Target="https://pbs.twimg.com/media/Dsh5dPBXoAA1ke3.jpg" TargetMode="External"/><Relationship Id="rId1508" Type="http://schemas.openxmlformats.org/officeDocument/2006/relationships/hyperlink" Target="https://pbs.twimg.com/media/DshkjCwWwAEIgjV.jpg" TargetMode="External"/><Relationship Id="rId1855" Type="http://schemas.openxmlformats.org/officeDocument/2006/relationships/hyperlink" Target="http://ahotsa.info/edukia/nueva-provocacion-policial-en-altsasu-por-parte-de-guardias-civiles-de-paisano" TargetMode="External"/><Relationship Id="rId1715" Type="http://schemas.openxmlformats.org/officeDocument/2006/relationships/hyperlink" Target="https://pbs.twimg.com/media/Dsgwx2aXgAAsjTT.jpg" TargetMode="External"/><Relationship Id="rId1922" Type="http://schemas.openxmlformats.org/officeDocument/2006/relationships/hyperlink" Target="https://m.facebook.com/ciudadanosmacarena/" TargetMode="External"/><Relationship Id="rId296" Type="http://schemas.openxmlformats.org/officeDocument/2006/relationships/hyperlink" Target="https://www.lapandereta.es/albert-rivera-evita-por-todos-los-medios-calificar-a-vox-de-extrema-derecha/?fbclid=IwAR0fkhbHZS6WI2wymk5ijI73dSeQBWrbxgruMQ_xlmn65JIRrZyfjGZ_G0A" TargetMode="External"/><Relationship Id="rId2184" Type="http://schemas.openxmlformats.org/officeDocument/2006/relationships/hyperlink" Target="http://pic.twitter.com/q7TtwV7pls" TargetMode="External"/><Relationship Id="rId2391" Type="http://schemas.openxmlformats.org/officeDocument/2006/relationships/hyperlink" Target="http://www.ciudadanos-cs.org/" TargetMode="External"/><Relationship Id="rId156" Type="http://schemas.openxmlformats.org/officeDocument/2006/relationships/hyperlink" Target="https://pbs.twimg.com/media/DsrcTKZWoAA1MUb.jpg" TargetMode="External"/><Relationship Id="rId363" Type="http://schemas.openxmlformats.org/officeDocument/2006/relationships/hyperlink" Target="http://page.is/manuela-murias" TargetMode="External"/><Relationship Id="rId570" Type="http://schemas.openxmlformats.org/officeDocument/2006/relationships/hyperlink" Target="http://www.pedrocastro.es/" TargetMode="External"/><Relationship Id="rId2044" Type="http://schemas.openxmlformats.org/officeDocument/2006/relationships/hyperlink" Target="http://www.zeleb.es/tv/el-zasca-de-risto-mejide-a-albert-rivera-a-proposito-del-flamenco-y-de-la-ciencia" TargetMode="External"/><Relationship Id="rId2251" Type="http://schemas.openxmlformats.org/officeDocument/2006/relationships/hyperlink" Target="http://pic.twitter.com/JRgjYQCbkU" TargetMode="External"/><Relationship Id="rId2489" Type="http://schemas.openxmlformats.org/officeDocument/2006/relationships/hyperlink" Target="https://twitter.com/AsociacionMSPE/status/1064845812834947073" TargetMode="External"/><Relationship Id="rId2696" Type="http://schemas.openxmlformats.org/officeDocument/2006/relationships/hyperlink" Target="http://www.elmundo.es/espana.html" TargetMode="External"/><Relationship Id="rId223" Type="http://schemas.openxmlformats.org/officeDocument/2006/relationships/hyperlink" Target="https://m.eldiario.es/_31f01323" TargetMode="External"/><Relationship Id="rId430" Type="http://schemas.openxmlformats.org/officeDocument/2006/relationships/hyperlink" Target="https://projecto2019vendre.wixsite.com/tatarlak" TargetMode="External"/><Relationship Id="rId668" Type="http://schemas.openxmlformats.org/officeDocument/2006/relationships/hyperlink" Target="http://www.elmundo.es/espana/2018/11/22/5bf6a067e5fdea356f8b4633.html" TargetMode="External"/><Relationship Id="rId875" Type="http://schemas.openxmlformats.org/officeDocument/2006/relationships/hyperlink" Target="http://www.somosregion.es/" TargetMode="External"/><Relationship Id="rId1060" Type="http://schemas.openxmlformats.org/officeDocument/2006/relationships/hyperlink" Target="http://diario16.com/rivera-se-niega-calificar-vox-partido-extrema-derecha/" TargetMode="External"/><Relationship Id="rId1298" Type="http://schemas.openxmlformats.org/officeDocument/2006/relationships/hyperlink" Target="https://www.publico.es/tremending/2018/11/21/por-que-albert-rivera-no-se-atreve-a-decir-que-vox-es-extrema-derecha-twitter-analiza-los-motivos/" TargetMode="External"/><Relationship Id="rId2111" Type="http://schemas.openxmlformats.org/officeDocument/2006/relationships/hyperlink" Target="https://youtu.be/D62g8svIjSc" TargetMode="External"/><Relationship Id="rId2349" Type="http://schemas.openxmlformats.org/officeDocument/2006/relationships/hyperlink" Target="http://pic.twitter.com/Xc6oqUL7we" TargetMode="External"/><Relationship Id="rId2556" Type="http://schemas.openxmlformats.org/officeDocument/2006/relationships/hyperlink" Target="http://pic.twitter.com/CKia16v7Hc" TargetMode="External"/><Relationship Id="rId2763" Type="http://schemas.openxmlformats.org/officeDocument/2006/relationships/hyperlink" Target="https://www.huffingtonpost.es/2018/11/19/teresa-rodriguez-llama-albert-primo-de-rivera-a-albert-rivera_a_23594091/" TargetMode="External"/><Relationship Id="rId528" Type="http://schemas.openxmlformats.org/officeDocument/2006/relationships/hyperlink" Target="https://www.elmundo.es/espana/2018/11/22/5bf6a067e5fdea356f8b4633.html" TargetMode="External"/><Relationship Id="rId735" Type="http://schemas.openxmlformats.org/officeDocument/2006/relationships/hyperlink" Target="http://pic.twitter.com/Sr1EHfTjT6" TargetMode="External"/><Relationship Id="rId942" Type="http://schemas.openxmlformats.org/officeDocument/2006/relationships/hyperlink" Target="http://ahotsa.info/edukia/nueva-provocacion-policial-en-altsasu-por-parte-de-guardias-civiles-de-paisano" TargetMode="External"/><Relationship Id="rId1158" Type="http://schemas.openxmlformats.org/officeDocument/2006/relationships/hyperlink" Target="http://www.losvirusoficial.es/" TargetMode="External"/><Relationship Id="rId1365" Type="http://schemas.openxmlformats.org/officeDocument/2006/relationships/hyperlink" Target="http://www.bitmomentum.com/" TargetMode="External"/><Relationship Id="rId1572" Type="http://schemas.openxmlformats.org/officeDocument/2006/relationships/hyperlink" Target="https://pbs.twimg.com/media/DsgwGuqU8AEeA9d.jpg" TargetMode="External"/><Relationship Id="rId2209" Type="http://schemas.openxmlformats.org/officeDocument/2006/relationships/hyperlink" Target="http://www.ramblalibre.com/" TargetMode="External"/><Relationship Id="rId2416" Type="http://schemas.openxmlformats.org/officeDocument/2006/relationships/hyperlink" Target="https://www.elimparcial.es/noticia/195833/nacional/albert-rivera:-algunos-politicos-denigran-la-justicia.html" TargetMode="External"/><Relationship Id="rId2623" Type="http://schemas.openxmlformats.org/officeDocument/2006/relationships/hyperlink" Target="https://www.libremercado.com/2018-11-18/el-drama-de-amparo-llegue-a-mi-casa-y-estaba-okupada-si-entro-me-llevan-detenida-1276628302/" TargetMode="External"/><Relationship Id="rId1018" Type="http://schemas.openxmlformats.org/officeDocument/2006/relationships/hyperlink" Target="http://elblogdejohncoffey.blogspot.com.es/" TargetMode="External"/><Relationship Id="rId1225" Type="http://schemas.openxmlformats.org/officeDocument/2006/relationships/hyperlink" Target="https://twitter.com/Humawaifus/status/1065198247617150978" TargetMode="External"/><Relationship Id="rId1432" Type="http://schemas.openxmlformats.org/officeDocument/2006/relationships/hyperlink" Target="http://www.ciudadanos-cs.org/" TargetMode="External"/><Relationship Id="rId1877" Type="http://schemas.openxmlformats.org/officeDocument/2006/relationships/hyperlink" Target="https://youtu.be/PhMQUlxugqU" TargetMode="External"/><Relationship Id="rId71" Type="http://schemas.openxmlformats.org/officeDocument/2006/relationships/hyperlink" Target="http://www.ciudadanos-cs.org/" TargetMode="External"/><Relationship Id="rId802" Type="http://schemas.openxmlformats.org/officeDocument/2006/relationships/hyperlink" Target="http://ow.ly/KYnh30mIbvL" TargetMode="External"/><Relationship Id="rId1737" Type="http://schemas.openxmlformats.org/officeDocument/2006/relationships/hyperlink" Target="http://cadenaser.com/programa/2018/11/20/hoy_por_hoy/1542712340_800654.html?ssm=tw-hxh" TargetMode="External"/><Relationship Id="rId1944" Type="http://schemas.openxmlformats.org/officeDocument/2006/relationships/hyperlink" Target="http://pic.twitter.com/VlBe54UXGK" TargetMode="External"/><Relationship Id="rId29" Type="http://schemas.openxmlformats.org/officeDocument/2006/relationships/hyperlink" Target="http://pic.twitter.com/lkxSW3Gsj8" TargetMode="External"/><Relationship Id="rId178" Type="http://schemas.openxmlformats.org/officeDocument/2006/relationships/hyperlink" Target="https://pbs.twimg.com/media/DsrLWmFWsAAU_42.jpg" TargetMode="External"/><Relationship Id="rId1804" Type="http://schemas.openxmlformats.org/officeDocument/2006/relationships/hyperlink" Target="https://www.elmundo.es/espana/2018/11/20/5bf3e474e2704ec6568b4825.html" TargetMode="External"/><Relationship Id="rId385" Type="http://schemas.openxmlformats.org/officeDocument/2006/relationships/hyperlink" Target="https://www.elmundo.es/espana/2018/11/22/5bf6a067e5fdea356f8b4633.html" TargetMode="External"/><Relationship Id="rId592" Type="http://schemas.openxmlformats.org/officeDocument/2006/relationships/hyperlink" Target="https://www.elmundo.es/espana/2018/11/22/5bf6a067e5fdea356f8b4633.html" TargetMode="External"/><Relationship Id="rId2066" Type="http://schemas.openxmlformats.org/officeDocument/2006/relationships/hyperlink" Target="http://www.pau.fm/" TargetMode="External"/><Relationship Id="rId2273" Type="http://schemas.openxmlformats.org/officeDocument/2006/relationships/hyperlink" Target="https://www.huffingtonpost.es/2018/11/20/la-respuesta-de-atresmedia-a-albert-rivera-por-lo-que-ha-dicho-sobre-la-casa-de-papel_a_23594976/" TargetMode="External"/><Relationship Id="rId2480" Type="http://schemas.openxmlformats.org/officeDocument/2006/relationships/hyperlink" Target="https://twitter.com/AsociacionMSPE/status/1064827826636025858" TargetMode="External"/><Relationship Id="rId245" Type="http://schemas.openxmlformats.org/officeDocument/2006/relationships/hyperlink" Target="https://twitter.com/josiasfiesco/status/1065734009198731265" TargetMode="External"/><Relationship Id="rId452" Type="http://schemas.openxmlformats.org/officeDocument/2006/relationships/hyperlink" Target="http://pic.twitter.com/1Ptawfcsi7" TargetMode="External"/><Relationship Id="rId897" Type="http://schemas.openxmlformats.org/officeDocument/2006/relationships/hyperlink" Target="https://pbs.twimg.com/media/DsloTTyXgAAO41y.jpg" TargetMode="External"/><Relationship Id="rId1082" Type="http://schemas.openxmlformats.org/officeDocument/2006/relationships/hyperlink" Target="https://pbs.twimg.com/media/Dsh4_XYWkAEmPTa.jpg" TargetMode="External"/><Relationship Id="rId2133" Type="http://schemas.openxmlformats.org/officeDocument/2006/relationships/hyperlink" Target="http://www.enblau.com/" TargetMode="External"/><Relationship Id="rId2340" Type="http://schemas.openxmlformats.org/officeDocument/2006/relationships/hyperlink" Target="http://diariodeunartistadesencajado.blogspot.com.es/" TargetMode="External"/><Relationship Id="rId2578" Type="http://schemas.openxmlformats.org/officeDocument/2006/relationships/hyperlink" Target="https://ift.tt/2S4INF7" TargetMode="External"/><Relationship Id="rId2785" Type="http://schemas.openxmlformats.org/officeDocument/2006/relationships/hyperlink" Target="https://pbs.twimg.com/media/DsZkdw9WsAEI6pi.jpg" TargetMode="External"/><Relationship Id="rId105" Type="http://schemas.openxmlformats.org/officeDocument/2006/relationships/hyperlink" Target="https://www.ciudadanos-cs.org/prensa/albert-rivera-e-ignacio-gordillo-participan-en-la-concentracion-de-espana-ciudadana-contra-los-indultos-y-por-las-elecciones/11103" TargetMode="External"/><Relationship Id="rId312" Type="http://schemas.openxmlformats.org/officeDocument/2006/relationships/hyperlink" Target="https://goo.gl/UhJ5p3?nuq88=7112989453" TargetMode="External"/><Relationship Id="rId757" Type="http://schemas.openxmlformats.org/officeDocument/2006/relationships/hyperlink" Target="http://pradoalberdi.wordpress.com/" TargetMode="External"/><Relationship Id="rId964" Type="http://schemas.openxmlformats.org/officeDocument/2006/relationships/hyperlink" Target="http://pic.twitter.com/X5F7lfX9yJ" TargetMode="External"/><Relationship Id="rId1387" Type="http://schemas.openxmlformats.org/officeDocument/2006/relationships/hyperlink" Target="https://twitter.com/rubiodelpozo/status/1064985593309011968" TargetMode="External"/><Relationship Id="rId1594" Type="http://schemas.openxmlformats.org/officeDocument/2006/relationships/hyperlink" Target="http://pic.twitter.com/gEUhlxGA3j" TargetMode="External"/><Relationship Id="rId2200" Type="http://schemas.openxmlformats.org/officeDocument/2006/relationships/hyperlink" Target="http://pic.twitter.com/aw3U2o01qX" TargetMode="External"/><Relationship Id="rId2438" Type="http://schemas.openxmlformats.org/officeDocument/2006/relationships/hyperlink" Target="http://pic.twitter.com/0ioPdnVP0w" TargetMode="External"/><Relationship Id="rId2645" Type="http://schemas.openxmlformats.org/officeDocument/2006/relationships/hyperlink" Target="https://goo.gl/z1M2k2" TargetMode="External"/><Relationship Id="rId93" Type="http://schemas.openxmlformats.org/officeDocument/2006/relationships/hyperlink" Target="http://pic.twitter.com/grnvTO8dgn" TargetMode="External"/><Relationship Id="rId617" Type="http://schemas.openxmlformats.org/officeDocument/2006/relationships/hyperlink" Target="http://pic.twitter.com/oX5Iot5J2j" TargetMode="External"/><Relationship Id="rId824" Type="http://schemas.openxmlformats.org/officeDocument/2006/relationships/hyperlink" Target="https://davidquiros.es/" TargetMode="External"/><Relationship Id="rId1247" Type="http://schemas.openxmlformats.org/officeDocument/2006/relationships/hyperlink" Target="https://twitter.com/Albert_Rivera/status/1065230411448688640" TargetMode="External"/><Relationship Id="rId1454" Type="http://schemas.openxmlformats.org/officeDocument/2006/relationships/hyperlink" Target="http://instagram.com/estheer_c" TargetMode="External"/><Relationship Id="rId1661" Type="http://schemas.openxmlformats.org/officeDocument/2006/relationships/hyperlink" Target="http://elmundotalcomovapd.blogspot.com.es/" TargetMode="External"/><Relationship Id="rId1899" Type="http://schemas.openxmlformats.org/officeDocument/2006/relationships/hyperlink" Target="http://www.digo-yo.es/author/esparroqui/" TargetMode="External"/><Relationship Id="rId2505" Type="http://schemas.openxmlformats.org/officeDocument/2006/relationships/hyperlink" Target="https://www.instant-gaming.com/igr/TheDavidDelta/" TargetMode="External"/><Relationship Id="rId2712" Type="http://schemas.openxmlformats.org/officeDocument/2006/relationships/hyperlink" Target="http://www.noentiendonada.es/" TargetMode="External"/><Relationship Id="rId1107" Type="http://schemas.openxmlformats.org/officeDocument/2006/relationships/hyperlink" Target="https://pbs.twimg.com/media/Dsh1BOrXcAAsKZH.jpg" TargetMode="External"/><Relationship Id="rId1314" Type="http://schemas.openxmlformats.org/officeDocument/2006/relationships/hyperlink" Target="https://www.publico.es/tremending/2018/11/21/por-que-albert-rivera-no-se-atreve-a-decir-que-vox-es-extrema-derecha-twitter-analiza-los-motivos/" TargetMode="External"/><Relationship Id="rId1521" Type="http://schemas.openxmlformats.org/officeDocument/2006/relationships/hyperlink" Target="http://pic.twitter.com/7eSgMnSbJR" TargetMode="External"/><Relationship Id="rId1759" Type="http://schemas.openxmlformats.org/officeDocument/2006/relationships/hyperlink" Target="https://pbs.twimg.com/media/DsgrFzSUcAAyf_i.jpg" TargetMode="External"/><Relationship Id="rId1966" Type="http://schemas.openxmlformats.org/officeDocument/2006/relationships/hyperlink" Target="https://twitter.com/ierrejon/status/1064612835408470016" TargetMode="External"/><Relationship Id="rId1619" Type="http://schemas.openxmlformats.org/officeDocument/2006/relationships/hyperlink" Target="http://www.cope.es/" TargetMode="External"/><Relationship Id="rId1826" Type="http://schemas.openxmlformats.org/officeDocument/2006/relationships/hyperlink" Target="http://www.bitmomentum.com/" TargetMode="External"/><Relationship Id="rId20" Type="http://schemas.openxmlformats.org/officeDocument/2006/relationships/hyperlink" Target="https://pbs.twimg.com/media/DssdfdKXQAAFOQw.jpg" TargetMode="External"/><Relationship Id="rId2088" Type="http://schemas.openxmlformats.org/officeDocument/2006/relationships/hyperlink" Target="https://youtu.be/q3y3WyvX06A" TargetMode="External"/><Relationship Id="rId2295" Type="http://schemas.openxmlformats.org/officeDocument/2006/relationships/hyperlink" Target="https://youtu.be/Vvvq1GenBy4" TargetMode="External"/><Relationship Id="rId267" Type="http://schemas.openxmlformats.org/officeDocument/2006/relationships/hyperlink" Target="https://www.infolibre.es/noticias/economia/2018/11/23/la_ocde_tambien_admite_necesidad_reformar_los_impuestos_espana_para_recaudar_mas_redistribuir_riqueza_89135_1011.html" TargetMode="External"/><Relationship Id="rId474" Type="http://schemas.openxmlformats.org/officeDocument/2006/relationships/hyperlink" Target="http://www.noticias24horas.com/ue-albert-rivera-presente-una-mocion-de-censura-o-llegue-a-acuerdos-sobre-lo-acordado-psoe-podemos/" TargetMode="External"/><Relationship Id="rId2155" Type="http://schemas.openxmlformats.org/officeDocument/2006/relationships/hyperlink" Target="http://www.bitmomentum.com/" TargetMode="External"/><Relationship Id="rId127" Type="http://schemas.openxmlformats.org/officeDocument/2006/relationships/hyperlink" Target="https://pbs.twimg.com/media/DsrcOwYWwAELx69.jpg" TargetMode="External"/><Relationship Id="rId681" Type="http://schemas.openxmlformats.org/officeDocument/2006/relationships/hyperlink" Target="http://www.ciudadanos-cs.org/" TargetMode="External"/><Relationship Id="rId779" Type="http://schemas.openxmlformats.org/officeDocument/2006/relationships/hyperlink" Target="http://www.bitmomentum.com/" TargetMode="External"/><Relationship Id="rId986" Type="http://schemas.openxmlformats.org/officeDocument/2006/relationships/hyperlink" Target="https://www.eldiario.es/rastreador/Albert-Rivera-extrema-populistas-bolivarianos_6_838226200.html" TargetMode="External"/><Relationship Id="rId2362" Type="http://schemas.openxmlformats.org/officeDocument/2006/relationships/hyperlink" Target="https://pbs.twimg.com/media/Dsdg0X0WkAQ_0FF.jpg" TargetMode="External"/><Relationship Id="rId2667" Type="http://schemas.openxmlformats.org/officeDocument/2006/relationships/hyperlink" Target="http://www.antena3.com/espejopublico" TargetMode="External"/><Relationship Id="rId334" Type="http://schemas.openxmlformats.org/officeDocument/2006/relationships/hyperlink" Target="http://pic.twitter.com/eTYPAUhWa7" TargetMode="External"/><Relationship Id="rId541" Type="http://schemas.openxmlformats.org/officeDocument/2006/relationships/hyperlink" Target="https://www.youtube.com/watch?v=BCMKcPH6LK4" TargetMode="External"/><Relationship Id="rId639" Type="http://schemas.openxmlformats.org/officeDocument/2006/relationships/hyperlink" Target="https://www.ciudadanos-cs.org/" TargetMode="External"/><Relationship Id="rId1171" Type="http://schemas.openxmlformats.org/officeDocument/2006/relationships/hyperlink" Target="https://pbs.twimg.com/media/DsgwGuqU8AEeA9d.jpg" TargetMode="External"/><Relationship Id="rId1269" Type="http://schemas.openxmlformats.org/officeDocument/2006/relationships/hyperlink" Target="http://www.rtve.es/rtve/20181121/albert-rivera-este-jueves-desayunos-tve/1841680.shtml" TargetMode="External"/><Relationship Id="rId1476" Type="http://schemas.openxmlformats.org/officeDocument/2006/relationships/hyperlink" Target="http://www.telemadrid.es/noticias" TargetMode="External"/><Relationship Id="rId2015" Type="http://schemas.openxmlformats.org/officeDocument/2006/relationships/hyperlink" Target="http://bit.ly/2FxA1hy" TargetMode="External"/><Relationship Id="rId2222" Type="http://schemas.openxmlformats.org/officeDocument/2006/relationships/hyperlink" Target="https://youtu.be/64sgFG9MlcI" TargetMode="External"/><Relationship Id="rId401" Type="http://schemas.openxmlformats.org/officeDocument/2006/relationships/hyperlink" Target="https://twitter.com/socialistes_cat/status/1065599937038041088" TargetMode="External"/><Relationship Id="rId846" Type="http://schemas.openxmlformats.org/officeDocument/2006/relationships/hyperlink" Target="https://www.ciudadanos-cs.org/" TargetMode="External"/><Relationship Id="rId1031" Type="http://schemas.openxmlformats.org/officeDocument/2006/relationships/hyperlink" Target="https://pbs.twimg.com/media/Dsh4_XYWkAEmPTa.jpg" TargetMode="External"/><Relationship Id="rId1129" Type="http://schemas.openxmlformats.org/officeDocument/2006/relationships/hyperlink" Target="https://www.elplural.com/politica/albert-rivera-copia-modelo-bus-propagandista-que-critico-a-podemos_206760102" TargetMode="External"/><Relationship Id="rId1683" Type="http://schemas.openxmlformats.org/officeDocument/2006/relationships/hyperlink" Target="https://youtu.be/944pDs-6LsM" TargetMode="External"/><Relationship Id="rId1890" Type="http://schemas.openxmlformats.org/officeDocument/2006/relationships/hyperlink" Target="https://youtu.be/D62g8svIjSc" TargetMode="External"/><Relationship Id="rId1988" Type="http://schemas.openxmlformats.org/officeDocument/2006/relationships/hyperlink" Target="https://www.redaccionmedica.com/secciones/sanidad-hoy/espana-cuarto-pais-del-entorno-europeo-que-destina-menos-pib-a-su-sanidad-9439" TargetMode="External"/><Relationship Id="rId2527" Type="http://schemas.openxmlformats.org/officeDocument/2006/relationships/hyperlink" Target="https://www.ciudadanos-cs.org/" TargetMode="External"/><Relationship Id="rId2734" Type="http://schemas.openxmlformats.org/officeDocument/2006/relationships/hyperlink" Target="https://goo.gl/7eQaCN?yvk84=5401760075" TargetMode="External"/><Relationship Id="rId706" Type="http://schemas.openxmlformats.org/officeDocument/2006/relationships/hyperlink" Target="https://www.elperiodico.com/es/politica/20181122/albert-rivera-2017-montar-autobus-no-es-hacer-oposicion-7161584?utm_source=twitter&amp;utm_medium=social" TargetMode="External"/><Relationship Id="rId913" Type="http://schemas.openxmlformats.org/officeDocument/2006/relationships/hyperlink" Target="https://twitter.com/PabloMM/status/1065234033070739456" TargetMode="External"/><Relationship Id="rId1336" Type="http://schemas.openxmlformats.org/officeDocument/2006/relationships/hyperlink" Target="https://www.publico.es/tremending/2018/11/21/por-que-albert-rivera-no-se-atreve-a-decir-que-vox-es-extrema-derecha-twitter-analiza-los-motivos/" TargetMode="External"/><Relationship Id="rId1543" Type="http://schemas.openxmlformats.org/officeDocument/2006/relationships/hyperlink" Target="http://www.bitmomentum.com/" TargetMode="External"/><Relationship Id="rId1750" Type="http://schemas.openxmlformats.org/officeDocument/2006/relationships/hyperlink" Target="http://cadenaser.com/programa/2018/11/20/hoy_por_hoy/1542712340_800654.html?ssm=tw-hxh" TargetMode="External"/><Relationship Id="rId2801" Type="http://schemas.openxmlformats.org/officeDocument/2006/relationships/hyperlink" Target="https://pbs.twimg.com/media/DsZdKlBXQAAIyAY.jpg" TargetMode="External"/><Relationship Id="rId42" Type="http://schemas.openxmlformats.org/officeDocument/2006/relationships/hyperlink" Target="https://pbs.twimg.com/media/DssLmRzWwAM7Rfx.jpg" TargetMode="External"/><Relationship Id="rId1403" Type="http://schemas.openxmlformats.org/officeDocument/2006/relationships/hyperlink" Target="https://pbs.twimg.com/media/Dsh4_XYWkAEmPTa.jpg" TargetMode="External"/><Relationship Id="rId1610" Type="http://schemas.openxmlformats.org/officeDocument/2006/relationships/hyperlink" Target="http://esppeonza.gmail.com/" TargetMode="External"/><Relationship Id="rId1848" Type="http://schemas.openxmlformats.org/officeDocument/2006/relationships/hyperlink" Target="http://pic.twitter.com/OZehXlL1uf" TargetMode="External"/><Relationship Id="rId191" Type="http://schemas.openxmlformats.org/officeDocument/2006/relationships/hyperlink" Target="https://twitter.com/4ever_frog/status/1065169184047419392" TargetMode="External"/><Relationship Id="rId1708" Type="http://schemas.openxmlformats.org/officeDocument/2006/relationships/hyperlink" Target="https://www.instagram.com/tortajada_90/" TargetMode="External"/><Relationship Id="rId1915" Type="http://schemas.openxmlformats.org/officeDocument/2006/relationships/hyperlink" Target="http://www.bitmomentum.com/" TargetMode="External"/><Relationship Id="rId289" Type="http://schemas.openxmlformats.org/officeDocument/2006/relationships/hyperlink" Target="https://twitter.com/Guerraeterna/status/1065362620956532743" TargetMode="External"/><Relationship Id="rId496" Type="http://schemas.openxmlformats.org/officeDocument/2006/relationships/hyperlink" Target="https://www.lapandereta.es/albert-rivera-evita-por-todos-los-medios-calificar-a-vox-de-extrema-derecha/?fbclid=IwAR0fkhbHZS6WI2wymk5ijI73dSeQBWrbxgruMQ_xlmn65JIRrZyfjGZ_G0A" TargetMode="External"/><Relationship Id="rId2177" Type="http://schemas.openxmlformats.org/officeDocument/2006/relationships/hyperlink" Target="http://pic.twitter.com/Sr1EHfTjT6" TargetMode="External"/><Relationship Id="rId2384" Type="http://schemas.openxmlformats.org/officeDocument/2006/relationships/hyperlink" Target="http://www.youtube.com/sila661" TargetMode="External"/><Relationship Id="rId2591" Type="http://schemas.openxmlformats.org/officeDocument/2006/relationships/hyperlink" Target="https://www.elmundo.es/cataluna/2018/11/20/5bf30ac5468aeb7a7e8b4607.html" TargetMode="External"/><Relationship Id="rId149" Type="http://schemas.openxmlformats.org/officeDocument/2006/relationships/hyperlink" Target="http://www.lextres.com/" TargetMode="External"/><Relationship Id="rId356" Type="http://schemas.openxmlformats.org/officeDocument/2006/relationships/hyperlink" Target="https://pbs.twimg.com/media/DsoYFDzVAAA2QnR.jpg" TargetMode="External"/><Relationship Id="rId563" Type="http://schemas.openxmlformats.org/officeDocument/2006/relationships/hyperlink" Target="https://www.elmundo.es/espana/2018/11/22/5bf6a067e5fdea356f8b4633.html" TargetMode="External"/><Relationship Id="rId770" Type="http://schemas.openxmlformats.org/officeDocument/2006/relationships/hyperlink" Target="https://www.publico.es/tremending/2018/11/21/por-que-albert-rivera-no-se-atreve-a-decir-que-vox-es-extrema-derecha-twitter-analiza-los-motivos/" TargetMode="External"/><Relationship Id="rId1193" Type="http://schemas.openxmlformats.org/officeDocument/2006/relationships/hyperlink" Target="https://www.elplural.com/politica/albert-rivera-copia-modelo-bus-propagandista-que-critico-a-podemos_206760102" TargetMode="External"/><Relationship Id="rId2037" Type="http://schemas.openxmlformats.org/officeDocument/2006/relationships/hyperlink" Target="http://www.tumblr.com/blog/nie1983me" TargetMode="External"/><Relationship Id="rId2244" Type="http://schemas.openxmlformats.org/officeDocument/2006/relationships/hyperlink" Target="http://www.ramblalibre.com/" TargetMode="External"/><Relationship Id="rId2451" Type="http://schemas.openxmlformats.org/officeDocument/2006/relationships/hyperlink" Target="http://www.banquilleros.com/" TargetMode="External"/><Relationship Id="rId2689" Type="http://schemas.openxmlformats.org/officeDocument/2006/relationships/hyperlink" Target="https://pbs.twimg.com/media/DsbhIPSWoAEBq8L.jpg" TargetMode="External"/><Relationship Id="rId216" Type="http://schemas.openxmlformats.org/officeDocument/2006/relationships/hyperlink" Target="http://www.malagahoy.es/julian_molina/" TargetMode="External"/><Relationship Id="rId423" Type="http://schemas.openxmlformats.org/officeDocument/2006/relationships/hyperlink" Target="https://www.youtube.com/c/ElPeriodistaCamorrista" TargetMode="External"/><Relationship Id="rId868" Type="http://schemas.openxmlformats.org/officeDocument/2006/relationships/hyperlink" Target="http://www.rtve.es/directo/la-1/" TargetMode="External"/><Relationship Id="rId1053" Type="http://schemas.openxmlformats.org/officeDocument/2006/relationships/hyperlink" Target="https://m.eldiario.es/_31f65118" TargetMode="External"/><Relationship Id="rId1260" Type="http://schemas.openxmlformats.org/officeDocument/2006/relationships/hyperlink" Target="http://www.bitmomentum.com/" TargetMode="External"/><Relationship Id="rId1498" Type="http://schemas.openxmlformats.org/officeDocument/2006/relationships/hyperlink" Target="https://pbs.twimg.com/media/DsgwGuqU8AEeA9d.jpg" TargetMode="External"/><Relationship Id="rId2104" Type="http://schemas.openxmlformats.org/officeDocument/2006/relationships/hyperlink" Target="http://pic.twitter.com/PGZHFTYg3R" TargetMode="External"/><Relationship Id="rId2549" Type="http://schemas.openxmlformats.org/officeDocument/2006/relationships/hyperlink" Target="http://pic.twitter.com/TMzrcZfQLu" TargetMode="External"/><Relationship Id="rId2756" Type="http://schemas.openxmlformats.org/officeDocument/2006/relationships/hyperlink" Target="https://twitter.com/reusdigitalcat/status/1064601443913605121" TargetMode="External"/><Relationship Id="rId630" Type="http://schemas.openxmlformats.org/officeDocument/2006/relationships/hyperlink" Target="https://www.elmundo.es/espana/2018/11/22/5bf6a067e5fdea356f8b4633.html" TargetMode="External"/><Relationship Id="rId728" Type="http://schemas.openxmlformats.org/officeDocument/2006/relationships/hyperlink" Target="http://www.elperiodico.com/" TargetMode="External"/><Relationship Id="rId935" Type="http://schemas.openxmlformats.org/officeDocument/2006/relationships/hyperlink" Target="https://youtu.be/V9YYQDqha-Q?qfm38=8009773000" TargetMode="External"/><Relationship Id="rId1358" Type="http://schemas.openxmlformats.org/officeDocument/2006/relationships/hyperlink" Target="https://www.elplural.com/politica/albert-rivera-extrema-derecha-vox-respuesta-entrevista_206736102" TargetMode="External"/><Relationship Id="rId1565" Type="http://schemas.openxmlformats.org/officeDocument/2006/relationships/hyperlink" Target="http://www.eitb.eus/es/television/programas/en-jake/" TargetMode="External"/><Relationship Id="rId1772" Type="http://schemas.openxmlformats.org/officeDocument/2006/relationships/hyperlink" Target="http://cadenaser.com/" TargetMode="External"/><Relationship Id="rId2311" Type="http://schemas.openxmlformats.org/officeDocument/2006/relationships/hyperlink" Target="https://twitter.com/ciudadanoscs/status/1064926347028557826?s=21" TargetMode="External"/><Relationship Id="rId2409" Type="http://schemas.openxmlformats.org/officeDocument/2006/relationships/hyperlink" Target="https://pbs.twimg.com/media/DsdD_CGWkAA5NNs.jpg" TargetMode="External"/><Relationship Id="rId2616" Type="http://schemas.openxmlformats.org/officeDocument/2006/relationships/hyperlink" Target="http://www.servimedia.es/" TargetMode="External"/><Relationship Id="rId64" Type="http://schemas.openxmlformats.org/officeDocument/2006/relationships/hyperlink" Target="https://adelanteandalucia.org/" TargetMode="External"/><Relationship Id="rId1120" Type="http://schemas.openxmlformats.org/officeDocument/2006/relationships/hyperlink" Target="https://pbs.twimg.com/media/DscP8mxWoAE_lk8.jpg" TargetMode="External"/><Relationship Id="rId1218" Type="http://schemas.openxmlformats.org/officeDocument/2006/relationships/hyperlink" Target="http://larioja.ciudadanos-cs.org/" TargetMode="External"/><Relationship Id="rId1425" Type="http://schemas.openxmlformats.org/officeDocument/2006/relationships/hyperlink" Target="https://www.publico.es/tremending/2018/11/21/por-que-albert-rivera-no-se-atreve-a-decir-que-vox-es-extrema-derecha-twitter-analiza-los-motivos/" TargetMode="External"/><Relationship Id="rId1632" Type="http://schemas.openxmlformats.org/officeDocument/2006/relationships/hyperlink" Target="http://adrycasares6.tumblr.com/" TargetMode="External"/><Relationship Id="rId1937" Type="http://schemas.openxmlformats.org/officeDocument/2006/relationships/hyperlink" Target="http://pic.twitter.com/6kZHNAdNJ7" TargetMode="External"/><Relationship Id="rId2199" Type="http://schemas.openxmlformats.org/officeDocument/2006/relationships/hyperlink" Target="https://youtu.be/Vvvq1GenBy4" TargetMode="External"/><Relationship Id="rId280" Type="http://schemas.openxmlformats.org/officeDocument/2006/relationships/hyperlink" Target="https://pbs.twimg.com/media/DsoD7u0VAAABbzY.jpg" TargetMode="External"/><Relationship Id="rId140" Type="http://schemas.openxmlformats.org/officeDocument/2006/relationships/hyperlink" Target="https://www.esdiario.com/170685726/Rivera-le-recuerda-a-Iglesias-que-el-Rey-saca-mejor-nota-que-el-en-las-encuestas.html" TargetMode="External"/><Relationship Id="rId378" Type="http://schemas.openxmlformats.org/officeDocument/2006/relationships/hyperlink" Target="http://pic.twitter.com/rYiK7Vwh4C" TargetMode="External"/><Relationship Id="rId585" Type="http://schemas.openxmlformats.org/officeDocument/2006/relationships/hyperlink" Target="http://edp.cat/" TargetMode="External"/><Relationship Id="rId792" Type="http://schemas.openxmlformats.org/officeDocument/2006/relationships/hyperlink" Target="https://www.lavanguardia.com/politica/20181122/453091407207/albert-rivera-acusa-psoe-minimizar-independentistas-escupen-espana.html?utm_source=twitter_lv&amp;utm_medium=social" TargetMode="External"/><Relationship Id="rId2059" Type="http://schemas.openxmlformats.org/officeDocument/2006/relationships/hyperlink" Target="https://youtu.be/NVSW54BAaOM" TargetMode="External"/><Relationship Id="rId2266" Type="http://schemas.openxmlformats.org/officeDocument/2006/relationships/hyperlink" Target="http://www.bitmomentum.com/" TargetMode="External"/><Relationship Id="rId2473" Type="http://schemas.openxmlformats.org/officeDocument/2006/relationships/hyperlink" Target="https://pbs.twimg.com/media/DsctFMqXQAAuClh.jpg" TargetMode="External"/><Relationship Id="rId2680" Type="http://schemas.openxmlformats.org/officeDocument/2006/relationships/hyperlink" Target="http://atres.red/prwad1" TargetMode="External"/><Relationship Id="rId6" Type="http://schemas.openxmlformats.org/officeDocument/2006/relationships/hyperlink" Target="https://pbs.twimg.com/media/DsrcOwYWwAELx69.jpg" TargetMode="External"/><Relationship Id="rId238" Type="http://schemas.openxmlformats.org/officeDocument/2006/relationships/hyperlink" Target="https://pbs.twimg.com/media/DsgwGuqU8AEeA9d.jpg" TargetMode="External"/><Relationship Id="rId445" Type="http://schemas.openxmlformats.org/officeDocument/2006/relationships/hyperlink" Target="http://gerardgomezf.wordpress.com/" TargetMode="External"/><Relationship Id="rId652" Type="http://schemas.openxmlformats.org/officeDocument/2006/relationships/hyperlink" Target="https://pbs.twimg.com/media/Dsm-wu8WwAErKbf.jpg" TargetMode="External"/><Relationship Id="rId1075" Type="http://schemas.openxmlformats.org/officeDocument/2006/relationships/hyperlink" Target="https://pbs.twimg.com/media/Dsh4V7mW0AAD0MV.jpg" TargetMode="External"/><Relationship Id="rId1282" Type="http://schemas.openxmlformats.org/officeDocument/2006/relationships/hyperlink" Target="https://pbs.twimg.com/media/DsgwGuqU8AEeA9d.jpg" TargetMode="External"/><Relationship Id="rId2126" Type="http://schemas.openxmlformats.org/officeDocument/2006/relationships/hyperlink" Target="http://www.futuronaranja.es/" TargetMode="External"/><Relationship Id="rId2333" Type="http://schemas.openxmlformats.org/officeDocument/2006/relationships/hyperlink" Target="http://larioja.ciudadanos-cs.org/" TargetMode="External"/><Relationship Id="rId2540" Type="http://schemas.openxmlformats.org/officeDocument/2006/relationships/hyperlink" Target="http://bit.ly/2A42CoE" TargetMode="External"/><Relationship Id="rId2778" Type="http://schemas.openxmlformats.org/officeDocument/2006/relationships/hyperlink" Target="https://elpais.com/politica/2018/05/09/actualidad/1525855695_984925.html" TargetMode="External"/><Relationship Id="rId305" Type="http://schemas.openxmlformats.org/officeDocument/2006/relationships/hyperlink" Target="https://www.instagram.com/p/Bqf3TkqlonR/?utm_source=ig_twitter_share&amp;igshid=ln21sh1lhijp" TargetMode="External"/><Relationship Id="rId512" Type="http://schemas.openxmlformats.org/officeDocument/2006/relationships/hyperlink" Target="https://pbs.twimg.com/media/Dsno5MWWwAAJTQH.jpg" TargetMode="External"/><Relationship Id="rId957" Type="http://schemas.openxmlformats.org/officeDocument/2006/relationships/hyperlink" Target="https://www.elplural.com/politica/albert-rivera-extrema-derecha-vox-respuesta-entrevista_206736102" TargetMode="External"/><Relationship Id="rId1142" Type="http://schemas.openxmlformats.org/officeDocument/2006/relationships/hyperlink" Target="http://www.hojadeencargo.com/" TargetMode="External"/><Relationship Id="rId1587" Type="http://schemas.openxmlformats.org/officeDocument/2006/relationships/hyperlink" Target="https://www.instagram.com/eduardo_rubino/" TargetMode="External"/><Relationship Id="rId1794" Type="http://schemas.openxmlformats.org/officeDocument/2006/relationships/hyperlink" Target="https://pbs.twimg.com/media/DsR56HBU0AA5IIa.jpg" TargetMode="External"/><Relationship Id="rId2400" Type="http://schemas.openxmlformats.org/officeDocument/2006/relationships/hyperlink" Target="https://www.elmundo.es/espana/2018/11/20/5bf3e474e2704ec6568b4825.html" TargetMode="External"/><Relationship Id="rId2638" Type="http://schemas.openxmlformats.org/officeDocument/2006/relationships/hyperlink" Target="http://www.ciudadanos-cs.org/" TargetMode="External"/><Relationship Id="rId86" Type="http://schemas.openxmlformats.org/officeDocument/2006/relationships/hyperlink" Target="https://youtu.be/6V5061CLMik" TargetMode="External"/><Relationship Id="rId817" Type="http://schemas.openxmlformats.org/officeDocument/2006/relationships/hyperlink" Target="http://pic.twitter.com/ZzQSsVs3c6" TargetMode="External"/><Relationship Id="rId1002" Type="http://schemas.openxmlformats.org/officeDocument/2006/relationships/hyperlink" Target="http://ondacero.es/directo/" TargetMode="External"/><Relationship Id="rId1447" Type="http://schemas.openxmlformats.org/officeDocument/2006/relationships/hyperlink" Target="https://twitter.com/CiudadanosCs/status/1065224473283084288" TargetMode="External"/><Relationship Id="rId1654" Type="http://schemas.openxmlformats.org/officeDocument/2006/relationships/hyperlink" Target="https://www.eldiario.es/politica/Rivera-catalogar-Vox-extremadrecha-analista_0_838166254.html" TargetMode="External"/><Relationship Id="rId1861" Type="http://schemas.openxmlformats.org/officeDocument/2006/relationships/hyperlink" Target="https://pbs.twimg.com/media/Dse19mrWwAAlTaL.jpg" TargetMode="External"/><Relationship Id="rId2705" Type="http://schemas.openxmlformats.org/officeDocument/2006/relationships/hyperlink" Target="https://www.elmundo.es/cataluna/2018/11/20/5bf30ac5468aeb7a7e8b4607.html" TargetMode="External"/><Relationship Id="rId1307" Type="http://schemas.openxmlformats.org/officeDocument/2006/relationships/hyperlink" Target="https://www.elmundo.es/espana/2018/11/21/5bf53f8b268e3e0a5a8b465c.html" TargetMode="External"/><Relationship Id="rId1514" Type="http://schemas.openxmlformats.org/officeDocument/2006/relationships/hyperlink" Target="http://www.lavozdealmeria.com/" TargetMode="External"/><Relationship Id="rId1721" Type="http://schemas.openxmlformats.org/officeDocument/2006/relationships/hyperlink" Target="http://cadenaser.com/" TargetMode="External"/><Relationship Id="rId1959" Type="http://schemas.openxmlformats.org/officeDocument/2006/relationships/hyperlink" Target="http://franciscoalegret.wordpress.com/" TargetMode="External"/><Relationship Id="rId13" Type="http://schemas.openxmlformats.org/officeDocument/2006/relationships/hyperlink" Target="http://pic.twitter.com/huVtSVJL5p" TargetMode="External"/><Relationship Id="rId1819" Type="http://schemas.openxmlformats.org/officeDocument/2006/relationships/hyperlink" Target="http://dlvr.it/QrkSzx" TargetMode="External"/><Relationship Id="rId2190" Type="http://schemas.openxmlformats.org/officeDocument/2006/relationships/hyperlink" Target="http://bit.ly/CsMadridCiudad" TargetMode="External"/><Relationship Id="rId2288" Type="http://schemas.openxmlformats.org/officeDocument/2006/relationships/hyperlink" Target="http://pic.twitter.com/zkko09ohOZ" TargetMode="External"/><Relationship Id="rId2495" Type="http://schemas.openxmlformats.org/officeDocument/2006/relationships/hyperlink" Target="http://castillalamancha.ciudadanos-cs.org/" TargetMode="External"/><Relationship Id="rId162" Type="http://schemas.openxmlformats.org/officeDocument/2006/relationships/hyperlink" Target="https://pbs.twimg.com/media/DsrY9aEX4AA672m.jpg" TargetMode="External"/><Relationship Id="rId467" Type="http://schemas.openxmlformats.org/officeDocument/2006/relationships/hyperlink" Target="https://www.elmiracielos.com/miscelanea/ciberseguridad-ready-player-one/" TargetMode="External"/><Relationship Id="rId1097" Type="http://schemas.openxmlformats.org/officeDocument/2006/relationships/hyperlink" Target="https://twitter.com/VivaLaUCV/status/1065298990021922816" TargetMode="External"/><Relationship Id="rId2050" Type="http://schemas.openxmlformats.org/officeDocument/2006/relationships/hyperlink" Target="https://twitter.com/GuajeSalvaje/status/1064954703992299523" TargetMode="External"/><Relationship Id="rId2148" Type="http://schemas.openxmlformats.org/officeDocument/2006/relationships/hyperlink" Target="https://www.lavanguardia.com/politica/20181120/453073801172/joan-tarda-albert-rivera-cada-vez-golpistas-llamaremos-fascista.html?utm_source=twitter_lv&amp;utm_medium=social" TargetMode="External"/><Relationship Id="rId674" Type="http://schemas.openxmlformats.org/officeDocument/2006/relationships/hyperlink" Target="https://www.facebook.com/vicente.ten/" TargetMode="External"/><Relationship Id="rId881" Type="http://schemas.openxmlformats.org/officeDocument/2006/relationships/hyperlink" Target="https://pbs.twimg.com/media/DsgwGuqU8AEeA9d.jpg" TargetMode="External"/><Relationship Id="rId979" Type="http://schemas.openxmlformats.org/officeDocument/2006/relationships/hyperlink" Target="https://pbs.twimg.com/media/DsjtpDGXcAI-lxT.jpg" TargetMode="External"/><Relationship Id="rId2355" Type="http://schemas.openxmlformats.org/officeDocument/2006/relationships/hyperlink" Target="https://pbs.twimg.com/media/DsdiG07WoAI-HbF.jpg" TargetMode="External"/><Relationship Id="rId2562" Type="http://schemas.openxmlformats.org/officeDocument/2006/relationships/hyperlink" Target="https://pbs.twimg.com/media/DscPQ34XQAEHIwR.jpg" TargetMode="External"/><Relationship Id="rId327" Type="http://schemas.openxmlformats.org/officeDocument/2006/relationships/hyperlink" Target="https://pbs.twimg.com/media/Dsom5jvWkAArJOd.jpg" TargetMode="External"/><Relationship Id="rId534" Type="http://schemas.openxmlformats.org/officeDocument/2006/relationships/hyperlink" Target="https://www.publico.es/politica/ciudadanos-rivera-cierra-banda-tres-ocasiones-no-decir-vox-extrema-derecha.html" TargetMode="External"/><Relationship Id="rId741" Type="http://schemas.openxmlformats.org/officeDocument/2006/relationships/hyperlink" Target="https://www.lavanguardia.com/politica/20181122/453092011111/rivera-golpistas-describir-insultar.html" TargetMode="External"/><Relationship Id="rId839" Type="http://schemas.openxmlformats.org/officeDocument/2006/relationships/hyperlink" Target="https://twitter.com/caval100/status/1065305616762191877?s=19" TargetMode="External"/><Relationship Id="rId1164" Type="http://schemas.openxmlformats.org/officeDocument/2006/relationships/hyperlink" Target="https://jotapov.com/2018/11/21/albert-rivera-evita-calificar-a-vox-como-ultraderecha-no-soy-un-analista-politico/" TargetMode="External"/><Relationship Id="rId1371" Type="http://schemas.openxmlformats.org/officeDocument/2006/relationships/hyperlink" Target="http://psoefondon.blogspot.com.es/" TargetMode="External"/><Relationship Id="rId1469" Type="http://schemas.openxmlformats.org/officeDocument/2006/relationships/hyperlink" Target="http://im-pulso.blogspot.com.es/" TargetMode="External"/><Relationship Id="rId2008" Type="http://schemas.openxmlformats.org/officeDocument/2006/relationships/hyperlink" Target="https://twitter.com/yosoynaranjito_/status/1064957067264430082" TargetMode="External"/><Relationship Id="rId2215" Type="http://schemas.openxmlformats.org/officeDocument/2006/relationships/hyperlink" Target="http://elperiodi.co/lkwos1" TargetMode="External"/><Relationship Id="rId2422" Type="http://schemas.openxmlformats.org/officeDocument/2006/relationships/hyperlink" Target="http://partidorepes.wordpress.com/" TargetMode="External"/><Relationship Id="rId601" Type="http://schemas.openxmlformats.org/officeDocument/2006/relationships/hyperlink" Target="https://twitter.com/Albert_Rivera/status/1065600760770105344" TargetMode="External"/><Relationship Id="rId1024" Type="http://schemas.openxmlformats.org/officeDocument/2006/relationships/hyperlink" Target="https://elchesemueve.com/" TargetMode="External"/><Relationship Id="rId1231" Type="http://schemas.openxmlformats.org/officeDocument/2006/relationships/hyperlink" Target="http://t.me/jesusdelacruzoliva" TargetMode="External"/><Relationship Id="rId1676" Type="http://schemas.openxmlformats.org/officeDocument/2006/relationships/hyperlink" Target="http://spanishpolice.github.io/" TargetMode="External"/><Relationship Id="rId1883" Type="http://schemas.openxmlformats.org/officeDocument/2006/relationships/hyperlink" Target="https://youtu.be/juba6tfIxxs" TargetMode="External"/><Relationship Id="rId2727" Type="http://schemas.openxmlformats.org/officeDocument/2006/relationships/hyperlink" Target="https://www.elmundo.es/cataluna/2018/11/20/5bf30ac5468aeb7a7e8b4607.html" TargetMode="External"/><Relationship Id="rId906" Type="http://schemas.openxmlformats.org/officeDocument/2006/relationships/hyperlink" Target="https://youtu.be/V9YYQDqha-Q?lji18=2361050308" TargetMode="External"/><Relationship Id="rId1329" Type="http://schemas.openxmlformats.org/officeDocument/2006/relationships/hyperlink" Target="http://instagram.com/efrencruzg" TargetMode="External"/><Relationship Id="rId1536" Type="http://schemas.openxmlformats.org/officeDocument/2006/relationships/hyperlink" Target="http://www.camasdigital.es/" TargetMode="External"/><Relationship Id="rId1743" Type="http://schemas.openxmlformats.org/officeDocument/2006/relationships/hyperlink" Target="http://pososdeanarquia.com/" TargetMode="External"/><Relationship Id="rId1950" Type="http://schemas.openxmlformats.org/officeDocument/2006/relationships/hyperlink" Target="http://www.bitmomentum.com/" TargetMode="External"/><Relationship Id="rId35" Type="http://schemas.openxmlformats.org/officeDocument/2006/relationships/hyperlink" Target="http://www.lacerca.com/" TargetMode="External"/><Relationship Id="rId1603" Type="http://schemas.openxmlformats.org/officeDocument/2006/relationships/hyperlink" Target="https://nosolotoni.wordpress.com/2018/11/21/el-auge-de-la-ultraderecha/" TargetMode="External"/><Relationship Id="rId1810" Type="http://schemas.openxmlformats.org/officeDocument/2006/relationships/hyperlink" Target="http://www.grancanariatv.com/" TargetMode="External"/><Relationship Id="rId184" Type="http://schemas.openxmlformats.org/officeDocument/2006/relationships/hyperlink" Target="http://dlvr.it/QrvzTx" TargetMode="External"/><Relationship Id="rId391" Type="http://schemas.openxmlformats.org/officeDocument/2006/relationships/hyperlink" Target="https://www.youtube.com/watch?v=IZfcG0rPxrs" TargetMode="External"/><Relationship Id="rId1908" Type="http://schemas.openxmlformats.org/officeDocument/2006/relationships/hyperlink" Target="https://www.elperiodico.com/es/politica/20181120/tarda-rivera-fascistas-7158541" TargetMode="External"/><Relationship Id="rId2072" Type="http://schemas.openxmlformats.org/officeDocument/2006/relationships/hyperlink" Target="http://www.youtube.com/RockHumanDelta" TargetMode="External"/><Relationship Id="rId251" Type="http://schemas.openxmlformats.org/officeDocument/2006/relationships/hyperlink" Target="http://www.elviramarcosabogados.com/" TargetMode="External"/><Relationship Id="rId489" Type="http://schemas.openxmlformats.org/officeDocument/2006/relationships/hyperlink" Target="https://www.booking.com/s/44_6/etxmen82" TargetMode="External"/><Relationship Id="rId696" Type="http://schemas.openxmlformats.org/officeDocument/2006/relationships/hyperlink" Target="http://shr.gs/UQ5jQbP" TargetMode="External"/><Relationship Id="rId2377" Type="http://schemas.openxmlformats.org/officeDocument/2006/relationships/hyperlink" Target="https://www.elindependiente.com/politica/2018/11/20/magistrados-del-supremo-aplauden-la-renuncia-marchena-reto-etico/?utm_source=share_buttons&amp;utm_medium=twitter&amp;utm_campaign=social_share" TargetMode="External"/><Relationship Id="rId2584" Type="http://schemas.openxmlformats.org/officeDocument/2006/relationships/hyperlink" Target="https://pbs.twimg.com/media/DscIgz7WwAQ0yUl.jpg" TargetMode="External"/><Relationship Id="rId2791" Type="http://schemas.openxmlformats.org/officeDocument/2006/relationships/hyperlink" Target="https://twitter.com/pablocasado_/status/1063176784601067521" TargetMode="External"/><Relationship Id="rId349" Type="http://schemas.openxmlformats.org/officeDocument/2006/relationships/hyperlink" Target="http://www.noticias24horas.com/ue-albert-rivera-presente-una-mocion-de-censura-o-llegue-a-acuerdos-sobre-lo-acordado-psoe-podemos/" TargetMode="External"/><Relationship Id="rId556" Type="http://schemas.openxmlformats.org/officeDocument/2006/relationships/hyperlink" Target="http://www.lacerca.com/" TargetMode="External"/><Relationship Id="rId763" Type="http://schemas.openxmlformats.org/officeDocument/2006/relationships/hyperlink" Target="https://www.lavanguardia.com/politica/20181120/453073801172/joan-tarda-albert-rivera-cada-vez-golpistas-llamaremos-fascista.html" TargetMode="External"/><Relationship Id="rId1186" Type="http://schemas.openxmlformats.org/officeDocument/2006/relationships/hyperlink" Target="https://www.elespanol.com/espana/tribunales/20181121/dolores-delgado-fulmina-abogado-no-acusacion-proces/354965404_0.html" TargetMode="External"/><Relationship Id="rId1393" Type="http://schemas.openxmlformats.org/officeDocument/2006/relationships/hyperlink" Target="http://www.grazalema.es/" TargetMode="External"/><Relationship Id="rId2237" Type="http://schemas.openxmlformats.org/officeDocument/2006/relationships/hyperlink" Target="https://youtu.be/Vvvq1GenBy4" TargetMode="External"/><Relationship Id="rId2444" Type="http://schemas.openxmlformats.org/officeDocument/2006/relationships/hyperlink" Target="http://www.ciudadanos-cs.org/" TargetMode="External"/><Relationship Id="rId111" Type="http://schemas.openxmlformats.org/officeDocument/2006/relationships/hyperlink" Target="https://blogs.publico.es/econonuestra/2018/11/23/manila-ciudad-de-albert-rivera/" TargetMode="External"/><Relationship Id="rId209" Type="http://schemas.openxmlformats.org/officeDocument/2006/relationships/hyperlink" Target="https://twitter.com/trendinaliaES/timelines/1065849541994340352" TargetMode="External"/><Relationship Id="rId416" Type="http://schemas.openxmlformats.org/officeDocument/2006/relationships/hyperlink" Target="https://twitter.com/sotosinmas/status/1065251099307847682" TargetMode="External"/><Relationship Id="rId970" Type="http://schemas.openxmlformats.org/officeDocument/2006/relationships/hyperlink" Target="https://pbs.twimg.com/media/DsgwGuqU8AEeA9d.jpg" TargetMode="External"/><Relationship Id="rId1046" Type="http://schemas.openxmlformats.org/officeDocument/2006/relationships/hyperlink" Target="http://fran-rey.com/" TargetMode="External"/><Relationship Id="rId1253" Type="http://schemas.openxmlformats.org/officeDocument/2006/relationships/hyperlink" Target="https://www.elplural.com/politica/albert-rivera-extrema-derecha-vox-respuesta-entrevista_206736102" TargetMode="External"/><Relationship Id="rId1698" Type="http://schemas.openxmlformats.org/officeDocument/2006/relationships/hyperlink" Target="https://pbs.twimg.com/media/Dsg4k7rXcAAUefu.jpg" TargetMode="External"/><Relationship Id="rId2651" Type="http://schemas.openxmlformats.org/officeDocument/2006/relationships/hyperlink" Target="http://www.p.com/" TargetMode="External"/><Relationship Id="rId2749" Type="http://schemas.openxmlformats.org/officeDocument/2006/relationships/hyperlink" Target="https://pbs.twimg.com/media/DsaAYZ_W0AEIPrZ.jpg" TargetMode="External"/><Relationship Id="rId623" Type="http://schemas.openxmlformats.org/officeDocument/2006/relationships/hyperlink" Target="http://pic.twitter.com/oX5Iot5J2j" TargetMode="External"/><Relationship Id="rId830" Type="http://schemas.openxmlformats.org/officeDocument/2006/relationships/hyperlink" Target="http://canarias.ciudadanos-cs.org/" TargetMode="External"/><Relationship Id="rId928" Type="http://schemas.openxmlformats.org/officeDocument/2006/relationships/hyperlink" Target="http://www.heliodoro.wordpress.com/" TargetMode="External"/><Relationship Id="rId1460" Type="http://schemas.openxmlformats.org/officeDocument/2006/relationships/hyperlink" Target="http://www.ciudadanos-cs.org/" TargetMode="External"/><Relationship Id="rId1558" Type="http://schemas.openxmlformats.org/officeDocument/2006/relationships/hyperlink" Target="https://pbs.twimg.com/media/DshVv-WWkAEQWhV.jpg" TargetMode="External"/><Relationship Id="rId1765" Type="http://schemas.openxmlformats.org/officeDocument/2006/relationships/hyperlink" Target="http://www.ciudadanos-cs.org/" TargetMode="External"/><Relationship Id="rId2304" Type="http://schemas.openxmlformats.org/officeDocument/2006/relationships/hyperlink" Target="https://www.huffingtonpost.es/2018/11/20/la-respuesta-de-atresmedia-a-albert-rivera-por-lo-que-ha-dicho-sobre-la-casa-de-papel_a_23594976/" TargetMode="External"/><Relationship Id="rId2511" Type="http://schemas.openxmlformats.org/officeDocument/2006/relationships/hyperlink" Target="http://www.rep&#250;blicadeespa&#241;a.com/" TargetMode="External"/><Relationship Id="rId2609" Type="http://schemas.openxmlformats.org/officeDocument/2006/relationships/hyperlink" Target="http://www.elperiodico.com/" TargetMode="External"/><Relationship Id="rId57" Type="http://schemas.openxmlformats.org/officeDocument/2006/relationships/hyperlink" Target="http://www.ciudadanos-cs.org/" TargetMode="External"/><Relationship Id="rId1113" Type="http://schemas.openxmlformats.org/officeDocument/2006/relationships/hyperlink" Target="http://youtu.be/3RktiXmHE5g?a" TargetMode="External"/><Relationship Id="rId1320" Type="http://schemas.openxmlformats.org/officeDocument/2006/relationships/hyperlink" Target="https://pbs.twimg.com/media/DsiJwU-X4AAbeU3.png" TargetMode="External"/><Relationship Id="rId1418" Type="http://schemas.openxmlformats.org/officeDocument/2006/relationships/hyperlink" Target="http://pic.twitter.com/MAVZA4zLMi" TargetMode="External"/><Relationship Id="rId1972" Type="http://schemas.openxmlformats.org/officeDocument/2006/relationships/hyperlink" Target="https://pbs.twimg.com/media/DseYzktWsAUjC6e.jpg" TargetMode="External"/><Relationship Id="rId1625" Type="http://schemas.openxmlformats.org/officeDocument/2006/relationships/hyperlink" Target="https://www.youtube.com/channel/UC2OPRvShCwMeO__KHVyPl9w?sub_confirmation=1" TargetMode="External"/><Relationship Id="rId1832" Type="http://schemas.openxmlformats.org/officeDocument/2006/relationships/hyperlink" Target="http://www.youtube.com/channel/UCwOLOtzRfmqDG94YCmiRkaQ?sub_confirmation=1" TargetMode="External"/><Relationship Id="rId2094" Type="http://schemas.openxmlformats.org/officeDocument/2006/relationships/hyperlink" Target="https://pbs.twimg.com/media/DseCrnrWwAM_feh.jpg" TargetMode="External"/><Relationship Id="rId273" Type="http://schemas.openxmlformats.org/officeDocument/2006/relationships/hyperlink" Target="https://pbs.twimg.com/media/Dso5-7BVsAAZz1I.jpg" TargetMode="External"/><Relationship Id="rId480" Type="http://schemas.openxmlformats.org/officeDocument/2006/relationships/hyperlink" Target="https://www.alertanacional.es/albert-rivera-a-sanchez-se-le-ha-ido-de-las-manos-el-monstruo-de-frankenstein-que-construyo-con-rufian-iglesias-torra-y-bildu/" TargetMode="External"/><Relationship Id="rId2161" Type="http://schemas.openxmlformats.org/officeDocument/2006/relationships/hyperlink" Target="http://youtu.be/WHm93JtsGEA?a" TargetMode="External"/><Relationship Id="rId2399" Type="http://schemas.openxmlformats.org/officeDocument/2006/relationships/hyperlink" Target="https://www.facebook.com/vicente.ten/" TargetMode="External"/><Relationship Id="rId133" Type="http://schemas.openxmlformats.org/officeDocument/2006/relationships/hyperlink" Target="https://trib.al/cUJxKgO" TargetMode="External"/><Relationship Id="rId340" Type="http://schemas.openxmlformats.org/officeDocument/2006/relationships/hyperlink" Target="https://youtu.be/V9YYQDqha-Q?brj97=966862609" TargetMode="External"/><Relationship Id="rId578" Type="http://schemas.openxmlformats.org/officeDocument/2006/relationships/hyperlink" Target="https://www.elespanol.com/espana/20181122/albert-rivera-ayer-escupido-espana/355214760_0.html" TargetMode="External"/><Relationship Id="rId785" Type="http://schemas.openxmlformats.org/officeDocument/2006/relationships/hyperlink" Target="https://pbs.twimg.com/media/DsmflJCX4AM7rGW.jpg" TargetMode="External"/><Relationship Id="rId992" Type="http://schemas.openxmlformats.org/officeDocument/2006/relationships/hyperlink" Target="https://www.elplural.com/politica/albert-rivera-extrema-derecha-vox-respuesta-entrevista_206736102" TargetMode="External"/><Relationship Id="rId2021" Type="http://schemas.openxmlformats.org/officeDocument/2006/relationships/hyperlink" Target="http://ciudadanos-cs.org/" TargetMode="External"/><Relationship Id="rId2259" Type="http://schemas.openxmlformats.org/officeDocument/2006/relationships/hyperlink" Target="https://www.youtube.com/c/ElPeriodistaCamorrista" TargetMode="External"/><Relationship Id="rId2466" Type="http://schemas.openxmlformats.org/officeDocument/2006/relationships/hyperlink" Target="http://pic.twitter.com/yXgG5C2So5" TargetMode="External"/><Relationship Id="rId2673" Type="http://schemas.openxmlformats.org/officeDocument/2006/relationships/hyperlink" Target="https://www.elmundo.es/cataluna/2018/11/20/5bf30ac5468aeb7a7e8b4607.html" TargetMode="External"/><Relationship Id="rId200" Type="http://schemas.openxmlformats.org/officeDocument/2006/relationships/hyperlink" Target="https://pbs.twimg.com/media/Dsq87DrXQAAFcJa.jpg" TargetMode="External"/><Relationship Id="rId438" Type="http://schemas.openxmlformats.org/officeDocument/2006/relationships/hyperlink" Target="https://www.elmundo.es/espana/2018/11/22/5bf6a067e5fdea356f8b4633.html" TargetMode="External"/><Relationship Id="rId645" Type="http://schemas.openxmlformats.org/officeDocument/2006/relationships/hyperlink" Target="http://jcomorera.blogspot.com.es/" TargetMode="External"/><Relationship Id="rId852" Type="http://schemas.openxmlformats.org/officeDocument/2006/relationships/hyperlink" Target="https://pbs.twimg.com/media/DsmBaBaW0AAl2U5.jpg" TargetMode="External"/><Relationship Id="rId1068" Type="http://schemas.openxmlformats.org/officeDocument/2006/relationships/hyperlink" Target="http://www.bitmomentum.com/" TargetMode="External"/><Relationship Id="rId1275" Type="http://schemas.openxmlformats.org/officeDocument/2006/relationships/hyperlink" Target="http://amruizg.blogspot.com/" TargetMode="External"/><Relationship Id="rId1482" Type="http://schemas.openxmlformats.org/officeDocument/2006/relationships/hyperlink" Target="https://www.publico.es/tremending/2018/11/21/por-que-albert-rivera-no-se-atreve-a-decir-que-vox-es-extrema-derecha-twitter-analiza-los-motivos/?utm_source=twitter&amp;utm_medium=social&amp;utm_campaign=publico" TargetMode="External"/><Relationship Id="rId2119" Type="http://schemas.openxmlformats.org/officeDocument/2006/relationships/hyperlink" Target="https://www.farodevigo.es/espana/2018/11/17/rivera-abre-gobernar-pp-andalucia/1999989.html" TargetMode="External"/><Relationship Id="rId2326" Type="http://schemas.openxmlformats.org/officeDocument/2006/relationships/hyperlink" Target="https://pbs.twimg.com/media/DsdlSyaX4AI7h2c.jpg" TargetMode="External"/><Relationship Id="rId2533" Type="http://schemas.openxmlformats.org/officeDocument/2006/relationships/hyperlink" Target="https://www.elmundo.es/cataluna/2018/11/20/5bf30ac5468aeb7a7e8b4607.html" TargetMode="External"/><Relationship Id="rId2740" Type="http://schemas.openxmlformats.org/officeDocument/2006/relationships/hyperlink" Target="https://pbs.twimg.com/media/DsYf4A2WsAA0U22.jpg" TargetMode="External"/><Relationship Id="rId505" Type="http://schemas.openxmlformats.org/officeDocument/2006/relationships/hyperlink" Target="http://cronicasdesdelacosta.blogspot.com/" TargetMode="External"/><Relationship Id="rId712" Type="http://schemas.openxmlformats.org/officeDocument/2006/relationships/hyperlink" Target="http://pic.twitter.com/NUSITy9QCB" TargetMode="External"/><Relationship Id="rId1135" Type="http://schemas.openxmlformats.org/officeDocument/2006/relationships/hyperlink" Target="https://pbs.twimg.com/media/DsjFYarVAAAYFE0.jpg" TargetMode="External"/><Relationship Id="rId1342" Type="http://schemas.openxmlformats.org/officeDocument/2006/relationships/hyperlink" Target="https://twitter.com/xarnegosedicios/status/1065228857148678144" TargetMode="External"/><Relationship Id="rId1787" Type="http://schemas.openxmlformats.org/officeDocument/2006/relationships/hyperlink" Target="http://ow.ly/7eJm30mHf2f" TargetMode="External"/><Relationship Id="rId1994" Type="http://schemas.openxmlformats.org/officeDocument/2006/relationships/hyperlink" Target="http://www.digo-yo.es/author/esparroqui/" TargetMode="External"/><Relationship Id="rId79" Type="http://schemas.openxmlformats.org/officeDocument/2006/relationships/hyperlink" Target="https://www.elperiodicodearagon.com/noticias/opinion/cantabrico-mediterraneo-eje-corre-prisa_1325642.html" TargetMode="External"/><Relationship Id="rId1202" Type="http://schemas.openxmlformats.org/officeDocument/2006/relationships/hyperlink" Target="http://movimiento-social.webnode.es/" TargetMode="External"/><Relationship Id="rId1647" Type="http://schemas.openxmlformats.org/officeDocument/2006/relationships/hyperlink" Target="https://www.elplural.com/politica/albert-rivera-extrema-derecha-vox-respuesta-entrevista_206736102" TargetMode="External"/><Relationship Id="rId1854" Type="http://schemas.openxmlformats.org/officeDocument/2006/relationships/hyperlink" Target="https://pbs.twimg.com/media/Dsds1VLXcAA3Ud5.jpg" TargetMode="External"/><Relationship Id="rId2600" Type="http://schemas.openxmlformats.org/officeDocument/2006/relationships/hyperlink" Target="https://www.larioja.com/la-rioja/mariela-vecina-oyon-20181119104459-nt.html" TargetMode="External"/><Relationship Id="rId1507" Type="http://schemas.openxmlformats.org/officeDocument/2006/relationships/hyperlink" Target="https://www.ecorepublicano.es/2018/11/albert-rivera-evita-calificar-vox-como.html" TargetMode="External"/><Relationship Id="rId1714" Type="http://schemas.openxmlformats.org/officeDocument/2006/relationships/hyperlink" Target="https://m.facebook.com/ebneuo" TargetMode="External"/><Relationship Id="rId295" Type="http://schemas.openxmlformats.org/officeDocument/2006/relationships/hyperlink" Target="https://www.eldiario.es/_31f65118" TargetMode="External"/><Relationship Id="rId1921" Type="http://schemas.openxmlformats.org/officeDocument/2006/relationships/hyperlink" Target="https://youtu.be/juba6tfIxxs" TargetMode="External"/><Relationship Id="rId2183" Type="http://schemas.openxmlformats.org/officeDocument/2006/relationships/hyperlink" Target="https://www.youtube.com/channel/UC03ra7_FNqzCzVs43anV2Mg" TargetMode="External"/><Relationship Id="rId2390" Type="http://schemas.openxmlformats.org/officeDocument/2006/relationships/hyperlink" Target="https://www.elmundo.es/espana/2018/11/20/5bf3e474e2704ec6568b4825.html" TargetMode="External"/><Relationship Id="rId2488" Type="http://schemas.openxmlformats.org/officeDocument/2006/relationships/hyperlink" Target="http://pic.twitter.com/S590HI75Z4" TargetMode="External"/><Relationship Id="rId155" Type="http://schemas.openxmlformats.org/officeDocument/2006/relationships/hyperlink" Target="http://bit.ly/2QdyIIz" TargetMode="External"/><Relationship Id="rId362" Type="http://schemas.openxmlformats.org/officeDocument/2006/relationships/hyperlink" Target="https://pbs.twimg.com/media/DsoT9UZWsAA3i-5.jpg" TargetMode="External"/><Relationship Id="rId1297" Type="http://schemas.openxmlformats.org/officeDocument/2006/relationships/hyperlink" Target="http://pic.twitter.com/XDgRXf7EP9" TargetMode="External"/><Relationship Id="rId2043" Type="http://schemas.openxmlformats.org/officeDocument/2006/relationships/hyperlink" Target="http://shr.gs/KxIcSkQ" TargetMode="External"/><Relationship Id="rId2250" Type="http://schemas.openxmlformats.org/officeDocument/2006/relationships/hyperlink" Target="http://www.ciudadanos-cs.org/" TargetMode="External"/><Relationship Id="rId2695" Type="http://schemas.openxmlformats.org/officeDocument/2006/relationships/hyperlink" Target="https://www.elmundo.es/cataluna/2018/11/20/5bf30ac5468aeb7a7e8b4607.html" TargetMode="External"/><Relationship Id="rId222" Type="http://schemas.openxmlformats.org/officeDocument/2006/relationships/hyperlink" Target="http://mediterraneo.diario16.com/no-senor-rivera-usted-no-democrata/" TargetMode="External"/><Relationship Id="rId667" Type="http://schemas.openxmlformats.org/officeDocument/2006/relationships/hyperlink" Target="https://www.elmundo.es/espana/2018/11/22/5bf6a067e5fdea356f8b4633.html" TargetMode="External"/><Relationship Id="rId874" Type="http://schemas.openxmlformats.org/officeDocument/2006/relationships/hyperlink" Target="https://pbs.twimg.com/media/Dsl31oHXgAA7zNv.jpg" TargetMode="External"/><Relationship Id="rId2110" Type="http://schemas.openxmlformats.org/officeDocument/2006/relationships/hyperlink" Target="http://www.futuronaranja.es/" TargetMode="External"/><Relationship Id="rId2348" Type="http://schemas.openxmlformats.org/officeDocument/2006/relationships/hyperlink" Target="http://www.facebook.com/mimaacordoba" TargetMode="External"/><Relationship Id="rId2555" Type="http://schemas.openxmlformats.org/officeDocument/2006/relationships/hyperlink" Target="https://twitter.com/malgastarte/status/1064680941145198593" TargetMode="External"/><Relationship Id="rId2762" Type="http://schemas.openxmlformats.org/officeDocument/2006/relationships/hyperlink" Target="https://www.libertaddigital.com/espana/2018-11-19/el-gobierno-que-repudia-mausoleos-a-dictadores-rinde-honores-al-democrata-mohamed-v-en-el-suyo-1276628470/" TargetMode="External"/><Relationship Id="rId527" Type="http://schemas.openxmlformats.org/officeDocument/2006/relationships/hyperlink" Target="http://www.rep&#250;blicadeespa&#241;a.com/" TargetMode="External"/><Relationship Id="rId734" Type="http://schemas.openxmlformats.org/officeDocument/2006/relationships/hyperlink" Target="https://twitter.com/GuajeSalvaje/status/1064954703992299523" TargetMode="External"/><Relationship Id="rId941" Type="http://schemas.openxmlformats.org/officeDocument/2006/relationships/hyperlink" Target="https://www.publico.es/tremending/2018/11/21/por-que-albert-rivera-no-se-atreve-a-decir-que-vox-es-extrema-derecha-twitter-analiza-los-motivos/" TargetMode="External"/><Relationship Id="rId1157" Type="http://schemas.openxmlformats.org/officeDocument/2006/relationships/hyperlink" Target="https://youtu.be/GI65GdDbRyk" TargetMode="External"/><Relationship Id="rId1364" Type="http://schemas.openxmlformats.org/officeDocument/2006/relationships/hyperlink" Target="http://www.bitmomentum.com/" TargetMode="External"/><Relationship Id="rId1571" Type="http://schemas.openxmlformats.org/officeDocument/2006/relationships/hyperlink" Target="http://instagram.com/berlustinho" TargetMode="External"/><Relationship Id="rId2208" Type="http://schemas.openxmlformats.org/officeDocument/2006/relationships/hyperlink" Target="http://ramblalibre.com/2018/11/20/joan-tarda-pasa-el-rubicon-y-llama-fascista-a-albert-rivera-en-el-congreso/" TargetMode="External"/><Relationship Id="rId2415" Type="http://schemas.openxmlformats.org/officeDocument/2006/relationships/hyperlink" Target="http://www.lacerca.com/" TargetMode="External"/><Relationship Id="rId2622" Type="http://schemas.openxmlformats.org/officeDocument/2006/relationships/hyperlink" Target="http://instagram.com/eresunamamarracha" TargetMode="External"/><Relationship Id="rId70" Type="http://schemas.openxmlformats.org/officeDocument/2006/relationships/hyperlink" Target="http://t.me/ahoracantabria" TargetMode="External"/><Relationship Id="rId801" Type="http://schemas.openxmlformats.org/officeDocument/2006/relationships/hyperlink" Target="http://www.bitmomentum.com/" TargetMode="External"/><Relationship Id="rId1017" Type="http://schemas.openxmlformats.org/officeDocument/2006/relationships/hyperlink" Target="http://joanbaldovi.com/" TargetMode="External"/><Relationship Id="rId1224" Type="http://schemas.openxmlformats.org/officeDocument/2006/relationships/hyperlink" Target="http://mi-estanteria.blogspot.com/" TargetMode="External"/><Relationship Id="rId1431" Type="http://schemas.openxmlformats.org/officeDocument/2006/relationships/hyperlink" Target="https://pbs.twimg.com/media/Dsh1n_DXQAAHO9t.jpg" TargetMode="External"/><Relationship Id="rId1669" Type="http://schemas.openxmlformats.org/officeDocument/2006/relationships/hyperlink" Target="https://twitter.com/Albert_Rivera/status/1064950502423740417" TargetMode="External"/><Relationship Id="rId1876" Type="http://schemas.openxmlformats.org/officeDocument/2006/relationships/hyperlink" Target="https://youtu.be/64sgFG9MlcI" TargetMode="External"/><Relationship Id="rId1529" Type="http://schemas.openxmlformats.org/officeDocument/2006/relationships/hyperlink" Target="https://pbs.twimg.com/media/Dshc8eOWsAAFddg.jpg" TargetMode="External"/><Relationship Id="rId1736" Type="http://schemas.openxmlformats.org/officeDocument/2006/relationships/hyperlink" Target="https://www.youtube.com/c/ElPeriodistaCamorrista" TargetMode="External"/><Relationship Id="rId1943" Type="http://schemas.openxmlformats.org/officeDocument/2006/relationships/hyperlink" Target="https://twitter.com/CiudadanosCs/status/1064940088742825984" TargetMode="External"/><Relationship Id="rId28" Type="http://schemas.openxmlformats.org/officeDocument/2006/relationships/hyperlink" Target="https://twitter.com/CsLaRioja/status/1065627412816412678" TargetMode="External"/><Relationship Id="rId1803" Type="http://schemas.openxmlformats.org/officeDocument/2006/relationships/hyperlink" Target="http://www.bitmomentum.com/" TargetMode="External"/><Relationship Id="rId177" Type="http://schemas.openxmlformats.org/officeDocument/2006/relationships/hyperlink" Target="https://pbs.twimg.com/media/DsrMBzDWsAADYnc.jpg" TargetMode="External"/><Relationship Id="rId384" Type="http://schemas.openxmlformats.org/officeDocument/2006/relationships/hyperlink" Target="http://www.noticierouniversal.com/" TargetMode="External"/><Relationship Id="rId591" Type="http://schemas.openxmlformats.org/officeDocument/2006/relationships/hyperlink" Target="http://instagram.com/_chicadelacurva" TargetMode="External"/><Relationship Id="rId2065" Type="http://schemas.openxmlformats.org/officeDocument/2006/relationships/hyperlink" Target="http://pic.twitter.com/ABmEm2ecob" TargetMode="External"/><Relationship Id="rId2272" Type="http://schemas.openxmlformats.org/officeDocument/2006/relationships/hyperlink" Target="http://www.ciudadanos-cs.org/" TargetMode="External"/><Relationship Id="rId244" Type="http://schemas.openxmlformats.org/officeDocument/2006/relationships/hyperlink" Target="http://www.novomedinilla.com/?m=1" TargetMode="External"/><Relationship Id="rId689" Type="http://schemas.openxmlformats.org/officeDocument/2006/relationships/hyperlink" Target="https://trib.al/hMti3xD" TargetMode="External"/><Relationship Id="rId896" Type="http://schemas.openxmlformats.org/officeDocument/2006/relationships/hyperlink" Target="http://joansafont.wordpress.com/" TargetMode="External"/><Relationship Id="rId1081" Type="http://schemas.openxmlformats.org/officeDocument/2006/relationships/hyperlink" Target="https://goo.gl/khXTdD" TargetMode="External"/><Relationship Id="rId2577" Type="http://schemas.openxmlformats.org/officeDocument/2006/relationships/hyperlink" Target="http://www.madressolterasporeleccion.org/" TargetMode="External"/><Relationship Id="rId2784" Type="http://schemas.openxmlformats.org/officeDocument/2006/relationships/hyperlink" Target="http://elblogdemaitemolina.blogspot.com/" TargetMode="External"/><Relationship Id="rId451" Type="http://schemas.openxmlformats.org/officeDocument/2006/relationships/hyperlink" Target="https://twitter.com/grancocolio/status/1065190030883340288" TargetMode="External"/><Relationship Id="rId549" Type="http://schemas.openxmlformats.org/officeDocument/2006/relationships/hyperlink" Target="https://www.elmundo.es/espana/2018/11/22/5bf6a067e5fdea356f8b4633.html" TargetMode="External"/><Relationship Id="rId756" Type="http://schemas.openxmlformats.org/officeDocument/2006/relationships/hyperlink" Target="https://www.eldiario.es/_31f65118" TargetMode="External"/><Relationship Id="rId1179" Type="http://schemas.openxmlformats.org/officeDocument/2006/relationships/hyperlink" Target="https://pbs.twimg.com/media/Dsi3p1eX4AAtoFA.jpg" TargetMode="External"/><Relationship Id="rId1386" Type="http://schemas.openxmlformats.org/officeDocument/2006/relationships/hyperlink" Target="http://cadenaser.com/programa/2018/11/20/hoy_por_hoy/1542712340_800654.html" TargetMode="External"/><Relationship Id="rId1593" Type="http://schemas.openxmlformats.org/officeDocument/2006/relationships/hyperlink" Target="https://pbs.twimg.com/media/DsgwGuqU8AEeA9d.jpg" TargetMode="External"/><Relationship Id="rId2132" Type="http://schemas.openxmlformats.org/officeDocument/2006/relationships/hyperlink" Target="http://bit.ly/2FxA1hy" TargetMode="External"/><Relationship Id="rId2437" Type="http://schemas.openxmlformats.org/officeDocument/2006/relationships/hyperlink" Target="http://www.ciudadanos-cs.org/" TargetMode="External"/><Relationship Id="rId104" Type="http://schemas.openxmlformats.org/officeDocument/2006/relationships/hyperlink" Target="http://t.me/ahoracantabria" TargetMode="External"/><Relationship Id="rId311" Type="http://schemas.openxmlformats.org/officeDocument/2006/relationships/hyperlink" Target="https://curiouscat.me/karndado" TargetMode="External"/><Relationship Id="rId409" Type="http://schemas.openxmlformats.org/officeDocument/2006/relationships/hyperlink" Target="https://twitter.com/cs_lgtbi/status/1065243031635406848" TargetMode="External"/><Relationship Id="rId963" Type="http://schemas.openxmlformats.org/officeDocument/2006/relationships/hyperlink" Target="https://pbs.twimg.com/media/Dsh4V7mW0AAD0MV.jpg" TargetMode="External"/><Relationship Id="rId1039" Type="http://schemas.openxmlformats.org/officeDocument/2006/relationships/hyperlink" Target="http://instagram.com/danisanchezp_" TargetMode="External"/><Relationship Id="rId1246" Type="http://schemas.openxmlformats.org/officeDocument/2006/relationships/hyperlink" Target="https://pbs.twimg.com/media/DsiinWHXcAUDf-G.jpg" TargetMode="External"/><Relationship Id="rId1898" Type="http://schemas.openxmlformats.org/officeDocument/2006/relationships/hyperlink" Target="https://pbs.twimg.com/media/DseoDMBX4Ac5-I8.jpg" TargetMode="External"/><Relationship Id="rId2644" Type="http://schemas.openxmlformats.org/officeDocument/2006/relationships/hyperlink" Target="http://www.ciudadanos-cs.org/" TargetMode="External"/><Relationship Id="rId92" Type="http://schemas.openxmlformats.org/officeDocument/2006/relationships/hyperlink" Target="http://shr.gs/KZ0Ro1E" TargetMode="External"/><Relationship Id="rId616" Type="http://schemas.openxmlformats.org/officeDocument/2006/relationships/hyperlink" Target="https://twitter.com/Albert_Rivera/status/1065600760770105344" TargetMode="External"/><Relationship Id="rId823" Type="http://schemas.openxmlformats.org/officeDocument/2006/relationships/hyperlink" Target="https://elpais.com/sociedad/2018/11/21/actualidad/1542791655_314453.amp.html" TargetMode="External"/><Relationship Id="rId1453" Type="http://schemas.openxmlformats.org/officeDocument/2006/relationships/hyperlink" Target="http://www.enblau.com/es/" TargetMode="External"/><Relationship Id="rId1660" Type="http://schemas.openxmlformats.org/officeDocument/2006/relationships/hyperlink" Target="https://pbs.twimg.com/media/Dsds1VLXcAA3Ud5.jpg" TargetMode="External"/><Relationship Id="rId1758" Type="http://schemas.openxmlformats.org/officeDocument/2006/relationships/hyperlink" Target="http://cadenaser.com/programa/2018/11/20/hoy_por_hoy/1542712340_800654.html?ssm=tw-hxh" TargetMode="External"/><Relationship Id="rId2504" Type="http://schemas.openxmlformats.org/officeDocument/2006/relationships/hyperlink" Target="http://pic.twitter.com/yXgG5C2So5" TargetMode="External"/><Relationship Id="rId2711" Type="http://schemas.openxmlformats.org/officeDocument/2006/relationships/hyperlink" Target="https://www.elmundo.es/cataluna/2018/11/20/5bf30ac5468aeb7a7e8b4607.html" TargetMode="External"/><Relationship Id="rId2809" Type="http://schemas.openxmlformats.org/officeDocument/2006/relationships/hyperlink" Target="http://pic.twitter.com/f3seJuZvf4" TargetMode="External"/><Relationship Id="rId1106" Type="http://schemas.openxmlformats.org/officeDocument/2006/relationships/hyperlink" Target="http://bit.ly/2qXbaJX" TargetMode="External"/><Relationship Id="rId1313" Type="http://schemas.openxmlformats.org/officeDocument/2006/relationships/hyperlink" Target="http://www.pedrocastro.es/" TargetMode="External"/><Relationship Id="rId1520" Type="http://schemas.openxmlformats.org/officeDocument/2006/relationships/hyperlink" Target="http://colectivosilesia.net/" TargetMode="External"/><Relationship Id="rId1965" Type="http://schemas.openxmlformats.org/officeDocument/2006/relationships/hyperlink" Target="http://runforfq.blogspot.com.es/?m=1" TargetMode="External"/><Relationship Id="rId1618" Type="http://schemas.openxmlformats.org/officeDocument/2006/relationships/hyperlink" Target="http://ww.cope.es/nfbat2" TargetMode="External"/><Relationship Id="rId1825" Type="http://schemas.openxmlformats.org/officeDocument/2006/relationships/hyperlink" Target="http://www.bitmomentum.com/" TargetMode="External"/><Relationship Id="rId199" Type="http://schemas.openxmlformats.org/officeDocument/2006/relationships/hyperlink" Target="https://www.facebook.com/pages/Ciudadanos-San-Fernando/857630790970444" TargetMode="External"/><Relationship Id="rId2087" Type="http://schemas.openxmlformats.org/officeDocument/2006/relationships/hyperlink" Target="https://youtu.be/juba6tfIxxs" TargetMode="External"/><Relationship Id="rId2294" Type="http://schemas.openxmlformats.org/officeDocument/2006/relationships/hyperlink" Target="http://www.ciudadanos-cs.org/" TargetMode="External"/><Relationship Id="rId266" Type="http://schemas.openxmlformats.org/officeDocument/2006/relationships/hyperlink" Target="http://oficios2011.blogspot.com.ar/" TargetMode="External"/><Relationship Id="rId473" Type="http://schemas.openxmlformats.org/officeDocument/2006/relationships/hyperlink" Target="https://www.elmundo.es/espana/2018/11/22/5bf6a067e5fdea356f8b4633.html" TargetMode="External"/><Relationship Id="rId680" Type="http://schemas.openxmlformats.org/officeDocument/2006/relationships/hyperlink" Target="http://pic.twitter.com/dbw9Dl4k6e" TargetMode="External"/><Relationship Id="rId2154" Type="http://schemas.openxmlformats.org/officeDocument/2006/relationships/hyperlink" Target="http://www.facebook.com/groups/yosoynaranjito" TargetMode="External"/><Relationship Id="rId2361" Type="http://schemas.openxmlformats.org/officeDocument/2006/relationships/hyperlink" Target="https://pbs.twimg.com/media/DsdFkUeWkAAYpRH.jpg" TargetMode="External"/><Relationship Id="rId2599" Type="http://schemas.openxmlformats.org/officeDocument/2006/relationships/hyperlink" Target="http://correporti.blogspot.com.es/" TargetMode="External"/><Relationship Id="rId126" Type="http://schemas.openxmlformats.org/officeDocument/2006/relationships/hyperlink" Target="https://twitter.com/cunadometro/status/1065906645413318656" TargetMode="External"/><Relationship Id="rId333" Type="http://schemas.openxmlformats.org/officeDocument/2006/relationships/hyperlink" Target="https://pbs.twimg.com/media/DsojSOKU8AE4GJg.jpg" TargetMode="External"/><Relationship Id="rId540" Type="http://schemas.openxmlformats.org/officeDocument/2006/relationships/hyperlink" Target="http://pic.twitter.com/A41IiCmyX7" TargetMode="External"/><Relationship Id="rId778" Type="http://schemas.openxmlformats.org/officeDocument/2006/relationships/hyperlink" Target="http://cantabria.ciudadanos-cs.org/" TargetMode="External"/><Relationship Id="rId985" Type="http://schemas.openxmlformats.org/officeDocument/2006/relationships/hyperlink" Target="http://podemos.info/" TargetMode="External"/><Relationship Id="rId1170" Type="http://schemas.openxmlformats.org/officeDocument/2006/relationships/hyperlink" Target="http://www.ojosdepapel.com/" TargetMode="External"/><Relationship Id="rId2014" Type="http://schemas.openxmlformats.org/officeDocument/2006/relationships/hyperlink" Target="http://pic.twitter.com/wvck5O4Hyt" TargetMode="External"/><Relationship Id="rId2221" Type="http://schemas.openxmlformats.org/officeDocument/2006/relationships/hyperlink" Target="http://pic.twitter.com/wDOkUFHfpf" TargetMode="External"/><Relationship Id="rId2459" Type="http://schemas.openxmlformats.org/officeDocument/2006/relationships/hyperlink" Target="https://www.elmundo.es/cataluna/2018/11/20/5bf30ac5468aeb7a7e8b4607.html" TargetMode="External"/><Relationship Id="rId2666" Type="http://schemas.openxmlformats.org/officeDocument/2006/relationships/hyperlink" Target="https://pbs.twimg.com/media/DsbujMLWkAAGcbE.jpg" TargetMode="External"/><Relationship Id="rId638" Type="http://schemas.openxmlformats.org/officeDocument/2006/relationships/hyperlink" Target="https://www.elmundo.es/opinion/2018/11/20/5bf45cdce5fdeae1388b4662.html" TargetMode="External"/><Relationship Id="rId845" Type="http://schemas.openxmlformats.org/officeDocument/2006/relationships/hyperlink" Target="https://pbs.twimg.com/media/DsmDb8AX4AEVN3o.jpg" TargetMode="External"/><Relationship Id="rId1030" Type="http://schemas.openxmlformats.org/officeDocument/2006/relationships/hyperlink" Target="https://m.eldiario.es/_31f65118" TargetMode="External"/><Relationship Id="rId1268" Type="http://schemas.openxmlformats.org/officeDocument/2006/relationships/hyperlink" Target="https://www.elplural.com/politica/albert-rivera-copia-modelo-bus-propagandista-que-critico-a-podemos_206760102" TargetMode="External"/><Relationship Id="rId1475" Type="http://schemas.openxmlformats.org/officeDocument/2006/relationships/hyperlink" Target="http://pic.twitter.com/onyfOxr02P" TargetMode="External"/><Relationship Id="rId1682" Type="http://schemas.openxmlformats.org/officeDocument/2006/relationships/hyperlink" Target="http://pic.twitter.com/yXgG5C2So5" TargetMode="External"/><Relationship Id="rId2319" Type="http://schemas.openxmlformats.org/officeDocument/2006/relationships/hyperlink" Target="http://www.lasexta.com/programas/zapeando" TargetMode="External"/><Relationship Id="rId2526" Type="http://schemas.openxmlformats.org/officeDocument/2006/relationships/hyperlink" Target="https://elpais.com/politica/2018/11/20/actualidad/1542713687_705619.html" TargetMode="External"/><Relationship Id="rId2733" Type="http://schemas.openxmlformats.org/officeDocument/2006/relationships/hyperlink" Target="https://pbs.twimg.com/media/DsbB34mWkAAHHIu.jpg" TargetMode="External"/><Relationship Id="rId400" Type="http://schemas.openxmlformats.org/officeDocument/2006/relationships/hyperlink" Target="https://www.publico.es/tremending/2018/11/21/por-que-albert-rivera-no-se-atreve-a-decir-que-vox-es-extrema-derecha-twitter-analiza-los-motivos/" TargetMode="External"/><Relationship Id="rId705" Type="http://schemas.openxmlformats.org/officeDocument/2006/relationships/hyperlink" Target="http://www.elnacional.cat/es/" TargetMode="External"/><Relationship Id="rId1128" Type="http://schemas.openxmlformats.org/officeDocument/2006/relationships/hyperlink" Target="http://www.cope.es/" TargetMode="External"/><Relationship Id="rId1335" Type="http://schemas.openxmlformats.org/officeDocument/2006/relationships/hyperlink" Target="https://www.elplural.com/politica/albert-rivera-extrema-derecha-vox-respuesta-entrevista_206736102" TargetMode="External"/><Relationship Id="rId1542" Type="http://schemas.openxmlformats.org/officeDocument/2006/relationships/hyperlink" Target="http://alcantarillasocial.com/author/protestona1" TargetMode="External"/><Relationship Id="rId1987" Type="http://schemas.openxmlformats.org/officeDocument/2006/relationships/hyperlink" Target="http://coordinadora25s.wordpress.com/" TargetMode="External"/><Relationship Id="rId912" Type="http://schemas.openxmlformats.org/officeDocument/2006/relationships/hyperlink" Target="http://pic.twitter.com/V6TTGSxgnu" TargetMode="External"/><Relationship Id="rId1847" Type="http://schemas.openxmlformats.org/officeDocument/2006/relationships/hyperlink" Target="http://www.gentedigital.es/comunidad/cosechandomadrid" TargetMode="External"/><Relationship Id="rId2800" Type="http://schemas.openxmlformats.org/officeDocument/2006/relationships/hyperlink" Target="https://pbs.twimg.com/media/DsZc3vJXQAE4yCy.jpg" TargetMode="External"/><Relationship Id="rId41" Type="http://schemas.openxmlformats.org/officeDocument/2006/relationships/hyperlink" Target="http://www.ciudadanos-cs.org/" TargetMode="External"/><Relationship Id="rId1402" Type="http://schemas.openxmlformats.org/officeDocument/2006/relationships/hyperlink" Target="https://www.publico.es/tremending/2018/11/21/por-que-albert-rivera-no-se-atreve-a-decir-que-vox-es-extrema-derecha-twitter-analiza-los-motivos/" TargetMode="External"/><Relationship Id="rId1707" Type="http://schemas.openxmlformats.org/officeDocument/2006/relationships/hyperlink" Target="https://m.facebook.com/?_rdr" TargetMode="External"/><Relationship Id="rId190" Type="http://schemas.openxmlformats.org/officeDocument/2006/relationships/hyperlink" Target="https://pbs.twimg.com/media/Dsq9024WsAArZ7p.jpg" TargetMode="External"/><Relationship Id="rId288" Type="http://schemas.openxmlformats.org/officeDocument/2006/relationships/hyperlink" Target="http://www.elperiodico.com/es/autor/gemma-robles/" TargetMode="External"/><Relationship Id="rId1914" Type="http://schemas.openxmlformats.org/officeDocument/2006/relationships/hyperlink" Target="http://www.bitmomentum.com/" TargetMode="External"/><Relationship Id="rId495" Type="http://schemas.openxmlformats.org/officeDocument/2006/relationships/hyperlink" Target="https://pbs.twimg.com/media/DsnvBjkXcAE1jXW.jpg" TargetMode="External"/><Relationship Id="rId2176" Type="http://schemas.openxmlformats.org/officeDocument/2006/relationships/hyperlink" Target="https://www.lasilenciosacat.org/" TargetMode="External"/><Relationship Id="rId2383" Type="http://schemas.openxmlformats.org/officeDocument/2006/relationships/hyperlink" Target="https://goo.gl/U6tWs2?yiq61=2916371554" TargetMode="External"/><Relationship Id="rId2590" Type="http://schemas.openxmlformats.org/officeDocument/2006/relationships/hyperlink" Target="https://widget.smartycenter.com/video/querella-presentada-contra-susana-diaz./2877633/8982/1" TargetMode="External"/><Relationship Id="rId148" Type="http://schemas.openxmlformats.org/officeDocument/2006/relationships/hyperlink" Target="https://pbs.twimg.com/media/DsrdnwfXcAE0VSC.jpg" TargetMode="External"/><Relationship Id="rId355" Type="http://schemas.openxmlformats.org/officeDocument/2006/relationships/hyperlink" Target="http://www.facebook.com/saviscatalans" TargetMode="External"/><Relationship Id="rId562" Type="http://schemas.openxmlformats.org/officeDocument/2006/relationships/hyperlink" Target="https://www.eldiario.es/_31f65118" TargetMode="External"/><Relationship Id="rId1192" Type="http://schemas.openxmlformats.org/officeDocument/2006/relationships/hyperlink" Target="https://www.publico.es/tremending/2018/11/21/por-que-albert-rivera-no-se-atreve-a-decir-que-vox-es-extrema-derecha-twitter-analiza-los-motivos/" TargetMode="External"/><Relationship Id="rId2036" Type="http://schemas.openxmlformats.org/officeDocument/2006/relationships/hyperlink" Target="https://pbs.twimg.com/media/Dsds1VLXcAA3Ud5.jpg" TargetMode="External"/><Relationship Id="rId2243" Type="http://schemas.openxmlformats.org/officeDocument/2006/relationships/hyperlink" Target="http://ramblalibre.com/2018/11/20/joan-tarda-pasa-el-rubicon-y-llama-fascista-a-albert-rivera-en-el-congreso/" TargetMode="External"/><Relationship Id="rId2450" Type="http://schemas.openxmlformats.org/officeDocument/2006/relationships/hyperlink" Target="http://s215.photobucket.com/user/falcata_cota35/library/?sort=9&amp;page=1" TargetMode="External"/><Relationship Id="rId2688" Type="http://schemas.openxmlformats.org/officeDocument/2006/relationships/hyperlink" Target="http://pic.twitter.com/HXmqLHT8Jn" TargetMode="External"/><Relationship Id="rId215" Type="http://schemas.openxmlformats.org/officeDocument/2006/relationships/hyperlink" Target="https://pbs.twimg.com/media/Dsqrug8XQAAsF_5.jpg" TargetMode="External"/><Relationship Id="rId422" Type="http://schemas.openxmlformats.org/officeDocument/2006/relationships/hyperlink" Target="https://youtu.be/Vn5QOJG3_SM" TargetMode="External"/><Relationship Id="rId867" Type="http://schemas.openxmlformats.org/officeDocument/2006/relationships/hyperlink" Target="http://joanbaldovi.com/" TargetMode="External"/><Relationship Id="rId1052" Type="http://schemas.openxmlformats.org/officeDocument/2006/relationships/hyperlink" Target="http://adanesmit.blogspot.com/" TargetMode="External"/><Relationship Id="rId1497" Type="http://schemas.openxmlformats.org/officeDocument/2006/relationships/hyperlink" Target="http://www.bitmomentum.com/" TargetMode="External"/><Relationship Id="rId2103" Type="http://schemas.openxmlformats.org/officeDocument/2006/relationships/hyperlink" Target="https://youtu.be/NVSW54BAaOM" TargetMode="External"/><Relationship Id="rId2310" Type="http://schemas.openxmlformats.org/officeDocument/2006/relationships/hyperlink" Target="http://plumaroja-plumaroja.blogspot.com/" TargetMode="External"/><Relationship Id="rId2548" Type="http://schemas.openxmlformats.org/officeDocument/2006/relationships/hyperlink" Target="https://twitter.com/clubdeviernes/status/1064610639082151936" TargetMode="External"/><Relationship Id="rId2755" Type="http://schemas.openxmlformats.org/officeDocument/2006/relationships/hyperlink" Target="https://twitter.com/antonio_f65/status/1064649640488960000" TargetMode="External"/><Relationship Id="rId727" Type="http://schemas.openxmlformats.org/officeDocument/2006/relationships/hyperlink" Target="http://elperiodi.co/i6o7d1" TargetMode="External"/><Relationship Id="rId934" Type="http://schemas.openxmlformats.org/officeDocument/2006/relationships/hyperlink" Target="https://www.publico.es/tremending/2018/11/21/por-que-albert-rivera-no-se-atreve-a-decir-que-vox-es-extrema-derecha-twitter-analiza-los-motivos/" TargetMode="External"/><Relationship Id="rId1357" Type="http://schemas.openxmlformats.org/officeDocument/2006/relationships/hyperlink" Target="https://youtu.be/V9YYQDqha-Q?tbo84=9812276620" TargetMode="External"/><Relationship Id="rId1564" Type="http://schemas.openxmlformats.org/officeDocument/2006/relationships/hyperlink" Target="https://www.ciudadanos-cs.org/" TargetMode="External"/><Relationship Id="rId1771" Type="http://schemas.openxmlformats.org/officeDocument/2006/relationships/hyperlink" Target="http://cadenaser.com/programa/2018/11/20/hoy_por_hoy/1542712340_800654.html?autoplay=1" TargetMode="External"/><Relationship Id="rId2408" Type="http://schemas.openxmlformats.org/officeDocument/2006/relationships/hyperlink" Target="http://stoned-zombie.tumblr.com/" TargetMode="External"/><Relationship Id="rId2615" Type="http://schemas.openxmlformats.org/officeDocument/2006/relationships/hyperlink" Target="https://www.servimedia.es/noticias/1093398" TargetMode="External"/><Relationship Id="rId63" Type="http://schemas.openxmlformats.org/officeDocument/2006/relationships/hyperlink" Target="https://pbs.twimg.com/media/DspHIzhU0AAxLUw.jpg" TargetMode="External"/><Relationship Id="rId1217" Type="http://schemas.openxmlformats.org/officeDocument/2006/relationships/hyperlink" Target="https://pbs.twimg.com/media/DsijLo9WsAEbgsL.jpg" TargetMode="External"/><Relationship Id="rId1424" Type="http://schemas.openxmlformats.org/officeDocument/2006/relationships/hyperlink" Target="https://pbs.twimg.com/media/DshvpkJX4AEZpod.jpg" TargetMode="External"/><Relationship Id="rId1631" Type="http://schemas.openxmlformats.org/officeDocument/2006/relationships/hyperlink" Target="https://www.elplural.com/politica/albert-rivera-extrema-derecha-vox-respuesta-entrevista_206736102" TargetMode="External"/><Relationship Id="rId1869" Type="http://schemas.openxmlformats.org/officeDocument/2006/relationships/hyperlink" Target="https://www.elmundo.es/espana/2018/11/20/5bf3e474e2704ec6568b4825.html" TargetMode="External"/><Relationship Id="rId1729" Type="http://schemas.openxmlformats.org/officeDocument/2006/relationships/hyperlink" Target="http://www.delarosalopez.es/" TargetMode="External"/><Relationship Id="rId1936" Type="http://schemas.openxmlformats.org/officeDocument/2006/relationships/hyperlink" Target="https://twitter.com/cazatalentos/status/1064955062957600768" TargetMode="External"/><Relationship Id="rId2198" Type="http://schemas.openxmlformats.org/officeDocument/2006/relationships/hyperlink" Target="https://youtu.be/q3y3WyvX06A" TargetMode="External"/><Relationship Id="rId377" Type="http://schemas.openxmlformats.org/officeDocument/2006/relationships/hyperlink" Target="https://twitter.com/radiocable/status/1065510363926544384" TargetMode="External"/><Relationship Id="rId584" Type="http://schemas.openxmlformats.org/officeDocument/2006/relationships/hyperlink" Target="https://www.elmundo.es/espana/2018/11/22/5bf6a067e5fdea356f8b4633.html" TargetMode="External"/><Relationship Id="rId2058" Type="http://schemas.openxmlformats.org/officeDocument/2006/relationships/hyperlink" Target="http://www.ciudadanos-cs.org/" TargetMode="External"/><Relationship Id="rId2265" Type="http://schemas.openxmlformats.org/officeDocument/2006/relationships/hyperlink" Target="http://nuevarevolucion.es/firmas/daniel-seijo/" TargetMode="External"/><Relationship Id="rId5" Type="http://schemas.openxmlformats.org/officeDocument/2006/relationships/hyperlink" Target="https://twitter.com/cunadometro/status/1065906645413318656" TargetMode="External"/><Relationship Id="rId237" Type="http://schemas.openxmlformats.org/officeDocument/2006/relationships/hyperlink" Target="http://pic.twitter.com/3Vmym0HnUc" TargetMode="External"/><Relationship Id="rId791" Type="http://schemas.openxmlformats.org/officeDocument/2006/relationships/hyperlink" Target="https://www.elplural.com/politica/albert-rivera-copia-modelo-bus-propagandista-que-critico-a-podemos_206760102" TargetMode="External"/><Relationship Id="rId889" Type="http://schemas.openxmlformats.org/officeDocument/2006/relationships/hyperlink" Target="http://trendinalia.com/twitter-trending-topics/spain/" TargetMode="External"/><Relationship Id="rId1074" Type="http://schemas.openxmlformats.org/officeDocument/2006/relationships/hyperlink" Target="https://www.eldiario.es/_31f65118" TargetMode="External"/><Relationship Id="rId2472" Type="http://schemas.openxmlformats.org/officeDocument/2006/relationships/hyperlink" Target="https://www.ciudadanos-cs.org/prensa/rivera-a-sanchez-y-casado-tiren-a-la-basura-ese-pacto-de-la-verguenza-y-voten-ley-de-ciudadanos-para-que-los-vocales-del-cgpj-los-elijan-jueces/11081" TargetMode="External"/><Relationship Id="rId2777" Type="http://schemas.openxmlformats.org/officeDocument/2006/relationships/hyperlink" Target="https://elsaltodiario.com/" TargetMode="External"/><Relationship Id="rId444" Type="http://schemas.openxmlformats.org/officeDocument/2006/relationships/hyperlink" Target="http://pic.twitter.com/huVtSVJL5p" TargetMode="External"/><Relationship Id="rId651" Type="http://schemas.openxmlformats.org/officeDocument/2006/relationships/hyperlink" Target="https://twitter.com/stupidnewsmart1/status/1064407911768776704" TargetMode="External"/><Relationship Id="rId749" Type="http://schemas.openxmlformats.org/officeDocument/2006/relationships/hyperlink" Target="https://pbs.twimg.com/media/Dsmo66mXcAEV6Mk.jpg" TargetMode="External"/><Relationship Id="rId1281" Type="http://schemas.openxmlformats.org/officeDocument/2006/relationships/hyperlink" Target="http://diario16.com/rivera-se-niega-calificar-vox-partido-extrema-derecha/" TargetMode="External"/><Relationship Id="rId1379" Type="http://schemas.openxmlformats.org/officeDocument/2006/relationships/hyperlink" Target="http://telemd.es/_jwiu4" TargetMode="External"/><Relationship Id="rId1586" Type="http://schemas.openxmlformats.org/officeDocument/2006/relationships/hyperlink" Target="https://pbs.twimg.com/media/DsgwGuqU8AEeA9d.jpg" TargetMode="External"/><Relationship Id="rId2125" Type="http://schemas.openxmlformats.org/officeDocument/2006/relationships/hyperlink" Target="https://youtu.be/NVSW54BAaOM" TargetMode="External"/><Relationship Id="rId2332" Type="http://schemas.openxmlformats.org/officeDocument/2006/relationships/hyperlink" Target="http://pic.twitter.com/ulKeNcKLuI" TargetMode="External"/><Relationship Id="rId304" Type="http://schemas.openxmlformats.org/officeDocument/2006/relationships/hyperlink" Target="http://roquetasdemar.ciudadanos-cs.org/" TargetMode="External"/><Relationship Id="rId511" Type="http://schemas.openxmlformats.org/officeDocument/2006/relationships/hyperlink" Target="https://www.ciudadanos-cs.org/prensa/rivera-a-sanchez-se-le-ha-ido-de-las-manos-el-monstruo-de-frankenstein-que-construyo-con-rufian-iglesias-torra-y-bildu/11100" TargetMode="External"/><Relationship Id="rId609" Type="http://schemas.openxmlformats.org/officeDocument/2006/relationships/hyperlink" Target="https://pbs.twimg.com/media/Dsm-jRUW0AArvBU.jpg" TargetMode="External"/><Relationship Id="rId956" Type="http://schemas.openxmlformats.org/officeDocument/2006/relationships/hyperlink" Target="http://www.convivenciaysolidaridad.blogspot.com/" TargetMode="External"/><Relationship Id="rId1141" Type="http://schemas.openxmlformats.org/officeDocument/2006/relationships/hyperlink" Target="https://www.publico.es/tremending/2018/11/21/por-que-albert-rivera-no-se-atreve-a-decir-que-vox-es-extrema-derecha-twitter-analiza-los-motivos/" TargetMode="External"/><Relationship Id="rId1239" Type="http://schemas.openxmlformats.org/officeDocument/2006/relationships/hyperlink" Target="https://twitter.com/CiudadanosCs/status/1064970053798498309" TargetMode="External"/><Relationship Id="rId1793" Type="http://schemas.openxmlformats.org/officeDocument/2006/relationships/hyperlink" Target="https://twitter.com/albertocairo/status/1064109549894934528" TargetMode="External"/><Relationship Id="rId2637" Type="http://schemas.openxmlformats.org/officeDocument/2006/relationships/hyperlink" Target="http://pic.twitter.com/4yp053GXyt" TargetMode="External"/><Relationship Id="rId85" Type="http://schemas.openxmlformats.org/officeDocument/2006/relationships/hyperlink" Target="https://www.youtube.com/c/ElPeriodistaCamorrista" TargetMode="External"/><Relationship Id="rId816" Type="http://schemas.openxmlformats.org/officeDocument/2006/relationships/hyperlink" Target="http://www.ciudadanos-cs.org/" TargetMode="External"/><Relationship Id="rId1001" Type="http://schemas.openxmlformats.org/officeDocument/2006/relationships/hyperlink" Target="http://pic.twitter.com/h1hPmA9rRc" TargetMode="External"/><Relationship Id="rId1446" Type="http://schemas.openxmlformats.org/officeDocument/2006/relationships/hyperlink" Target="http://elrincndedonnadie.blogspot.com/" TargetMode="External"/><Relationship Id="rId1653" Type="http://schemas.openxmlformats.org/officeDocument/2006/relationships/hyperlink" Target="https://pbs.twimg.com/media/Dsg7A0iXQAEFz9R.jpg" TargetMode="External"/><Relationship Id="rId1860" Type="http://schemas.openxmlformats.org/officeDocument/2006/relationships/hyperlink" Target="https://instagram.com/gemmajhb" TargetMode="External"/><Relationship Id="rId2704" Type="http://schemas.openxmlformats.org/officeDocument/2006/relationships/hyperlink" Target="http://www.monkeysgroup.com/" TargetMode="External"/><Relationship Id="rId1306" Type="http://schemas.openxmlformats.org/officeDocument/2006/relationships/hyperlink" Target="http://www.bitmomentum.com/" TargetMode="External"/><Relationship Id="rId1513" Type="http://schemas.openxmlformats.org/officeDocument/2006/relationships/hyperlink" Target="http://mtr.cool/lmldqfu" TargetMode="External"/><Relationship Id="rId1720" Type="http://schemas.openxmlformats.org/officeDocument/2006/relationships/hyperlink" Target="https://pbs.twimg.com/media/DsgwGuqU8AEeA9d.jpg" TargetMode="External"/><Relationship Id="rId1958" Type="http://schemas.openxmlformats.org/officeDocument/2006/relationships/hyperlink" Target="http://pic.twitter.com/Sr1EHfTjT6" TargetMode="External"/><Relationship Id="rId12" Type="http://schemas.openxmlformats.org/officeDocument/2006/relationships/hyperlink" Target="https://twitter.com/gerardgomezf/status/1065662717082652675" TargetMode="External"/><Relationship Id="rId1818" Type="http://schemas.openxmlformats.org/officeDocument/2006/relationships/hyperlink" Target="https://www.youtube.com/channel/UCB6toQXxSyyqr_2U4f_ztPA" TargetMode="External"/><Relationship Id="rId161" Type="http://schemas.openxmlformats.org/officeDocument/2006/relationships/hyperlink" Target="http://ow.ly/gsWG30mICeF" TargetMode="External"/><Relationship Id="rId399" Type="http://schemas.openxmlformats.org/officeDocument/2006/relationships/hyperlink" Target="http://tremending.publico.es/" TargetMode="External"/><Relationship Id="rId2287" Type="http://schemas.openxmlformats.org/officeDocument/2006/relationships/hyperlink" Target="http://www.ciudadanos-cs.org/" TargetMode="External"/><Relationship Id="rId2494" Type="http://schemas.openxmlformats.org/officeDocument/2006/relationships/hyperlink" Target="https://pbs.twimg.com/media/DscmCMfWwAAs1NJ.jpg" TargetMode="External"/><Relationship Id="rId259" Type="http://schemas.openxmlformats.org/officeDocument/2006/relationships/hyperlink" Target="http://www.noticias24horas.com/" TargetMode="External"/><Relationship Id="rId466" Type="http://schemas.openxmlformats.org/officeDocument/2006/relationships/hyperlink" Target="http://nosfelicespocos.blogspot.com.es/" TargetMode="External"/><Relationship Id="rId673" Type="http://schemas.openxmlformats.org/officeDocument/2006/relationships/hyperlink" Target="https://www.libertaddigital.com/espana/2018-11-22/rivera-sobre-rufian-y-borrell-a-sanchez-se-le-ha-ido-el-gobierno-frankenstein-de-las-manos-1276628665/" TargetMode="External"/><Relationship Id="rId880" Type="http://schemas.openxmlformats.org/officeDocument/2006/relationships/hyperlink" Target="https://www.youtube.com/watch?v=F2QdLseop8g" TargetMode="External"/><Relationship Id="rId1096" Type="http://schemas.openxmlformats.org/officeDocument/2006/relationships/hyperlink" Target="http://www.jesusmartinezphoto.com/" TargetMode="External"/><Relationship Id="rId2147" Type="http://schemas.openxmlformats.org/officeDocument/2006/relationships/hyperlink" Target="https://youtu.be/juba6tfIxxs" TargetMode="External"/><Relationship Id="rId2354" Type="http://schemas.openxmlformats.org/officeDocument/2006/relationships/hyperlink" Target="http://pic.twitter.com/yXgG5C2So5" TargetMode="External"/><Relationship Id="rId2561" Type="http://schemas.openxmlformats.org/officeDocument/2006/relationships/hyperlink" Target="https://twitter.com/albertdmcat/status/1064836628777185280" TargetMode="External"/><Relationship Id="rId2799" Type="http://schemas.openxmlformats.org/officeDocument/2006/relationships/hyperlink" Target="https://www.eljueves.es/news/ciudadanos-propone-retirar-andaluz-escuelas-andaluzas_2963" TargetMode="External"/><Relationship Id="rId119" Type="http://schemas.openxmlformats.org/officeDocument/2006/relationships/hyperlink" Target="https://pbs.twimg.com/media/DsrcOwYWwAELx69.jpg" TargetMode="External"/><Relationship Id="rId326" Type="http://schemas.openxmlformats.org/officeDocument/2006/relationships/hyperlink" Target="https://curiouscat.me/CapitanKyros/post/714059347?t=1542919682" TargetMode="External"/><Relationship Id="rId533" Type="http://schemas.openxmlformats.org/officeDocument/2006/relationships/hyperlink" Target="https://www.elmundo.es/espana/2018/11/22/5bf6a067e5fdea356f8b4633.html" TargetMode="External"/><Relationship Id="rId978" Type="http://schemas.openxmlformats.org/officeDocument/2006/relationships/hyperlink" Target="https://twitter.com/gsemprunmdg/status/1065362622613196800" TargetMode="External"/><Relationship Id="rId1163" Type="http://schemas.openxmlformats.org/officeDocument/2006/relationships/hyperlink" Target="http://www.trois.es/" TargetMode="External"/><Relationship Id="rId1370" Type="http://schemas.openxmlformats.org/officeDocument/2006/relationships/hyperlink" Target="http://pic.twitter.com/fkhA5D11uY" TargetMode="External"/><Relationship Id="rId2007" Type="http://schemas.openxmlformats.org/officeDocument/2006/relationships/hyperlink" Target="http://pic.twitter.com/ByYSFGHoS4" TargetMode="External"/><Relationship Id="rId2214" Type="http://schemas.openxmlformats.org/officeDocument/2006/relationships/hyperlink" Target="http://alcantarillasocial.com/author/protestona1" TargetMode="External"/><Relationship Id="rId2659" Type="http://schemas.openxmlformats.org/officeDocument/2006/relationships/hyperlink" Target="https://pbs.twimg.com/media/Dsbv1ssWoAA0odB.jpg" TargetMode="External"/><Relationship Id="rId740" Type="http://schemas.openxmlformats.org/officeDocument/2006/relationships/hyperlink" Target="https://acidel.blogspot.com/2018/11/albert-rivera-proposicion-para-la.html?spref=tw" TargetMode="External"/><Relationship Id="rId838" Type="http://schemas.openxmlformats.org/officeDocument/2006/relationships/hyperlink" Target="https://www.elplural.com/politica/albert-rivera-copia-modelo-bus-propagandista-que-critico-a-podemos_206760102" TargetMode="External"/><Relationship Id="rId1023" Type="http://schemas.openxmlformats.org/officeDocument/2006/relationships/hyperlink" Target="http://pic.twitter.com/1Ptawfcsi7" TargetMode="External"/><Relationship Id="rId1468" Type="http://schemas.openxmlformats.org/officeDocument/2006/relationships/hyperlink" Target="https://pbs.twimg.com/media/Dshrv5OWsAMsLmt.jpg" TargetMode="External"/><Relationship Id="rId1675" Type="http://schemas.openxmlformats.org/officeDocument/2006/relationships/hyperlink" Target="http://www.bitmomentum.com/" TargetMode="External"/><Relationship Id="rId1882" Type="http://schemas.openxmlformats.org/officeDocument/2006/relationships/hyperlink" Target="http://pic.twitter.com/YQKSKZUQJU" TargetMode="External"/><Relationship Id="rId2421" Type="http://schemas.openxmlformats.org/officeDocument/2006/relationships/hyperlink" Target="https://www.huffingtonpost.es/2018/11/19/teresa-rodriguez-llama-albert-primo-de-rivera-a-albert-rivera_a_23594091/?ncid=other_twitter_cooo9wqtham&amp;utm_campaign=share_twitter" TargetMode="External"/><Relationship Id="rId2519" Type="http://schemas.openxmlformats.org/officeDocument/2006/relationships/hyperlink" Target="http://www.telemadrid.es/120minutos" TargetMode="External"/><Relationship Id="rId2726" Type="http://schemas.openxmlformats.org/officeDocument/2006/relationships/hyperlink" Target="https://www.elmundo.es/cataluna/2018/11/20/5bf30ac5468aeb7a7e8b4607.html" TargetMode="External"/><Relationship Id="rId600" Type="http://schemas.openxmlformats.org/officeDocument/2006/relationships/hyperlink" Target="http://www.bitmomentum.com/" TargetMode="External"/><Relationship Id="rId1230" Type="http://schemas.openxmlformats.org/officeDocument/2006/relationships/hyperlink" Target="https://www.youtube.com/attribution_link?a=Yia16d4Ul5Y&amp;u=%2Fwatch%3Fv%3D64sgFG9MlcI%26feature%3Dshare" TargetMode="External"/><Relationship Id="rId1328" Type="http://schemas.openxmlformats.org/officeDocument/2006/relationships/hyperlink" Target="https://pbs.twimg.com/media/DsgwGuqU8AEeA9d.jpg" TargetMode="External"/><Relationship Id="rId1535" Type="http://schemas.openxmlformats.org/officeDocument/2006/relationships/hyperlink" Target="https://www.facebook.com/www.camasdigital.es/posts/1917478754967806" TargetMode="External"/><Relationship Id="rId905" Type="http://schemas.openxmlformats.org/officeDocument/2006/relationships/hyperlink" Target="http://www.sergiocases-artstudio.com/" TargetMode="External"/><Relationship Id="rId1742" Type="http://schemas.openxmlformats.org/officeDocument/2006/relationships/hyperlink" Target="http://blogdeoscarpardodelasalud.blogspot.com.es/" TargetMode="External"/><Relationship Id="rId34" Type="http://schemas.openxmlformats.org/officeDocument/2006/relationships/hyperlink" Target="http://www.lacerca.com/noticias/espana/ciudadanos-rodriguez-pasar-gibraltar-sanchez-cuba-reune-dictadura-446365-1.html" TargetMode="External"/><Relationship Id="rId1602" Type="http://schemas.openxmlformats.org/officeDocument/2006/relationships/hyperlink" Target="http://canarias.ciudadanos-cs.org/" TargetMode="External"/><Relationship Id="rId183" Type="http://schemas.openxmlformats.org/officeDocument/2006/relationships/hyperlink" Target="http://facebook.com/PilarGomezMagan/" TargetMode="External"/><Relationship Id="rId390" Type="http://schemas.openxmlformats.org/officeDocument/2006/relationships/hyperlink" Target="https://pbs.twimg.com/media/DsoKwJzUwAA_M4h.jpg" TargetMode="External"/><Relationship Id="rId1907" Type="http://schemas.openxmlformats.org/officeDocument/2006/relationships/hyperlink" Target="https://twitter.com/gabrielrufian/status/1064982449971752961" TargetMode="External"/><Relationship Id="rId2071" Type="http://schemas.openxmlformats.org/officeDocument/2006/relationships/hyperlink" Target="http://instagram.com/alebarfou/" TargetMode="External"/><Relationship Id="rId250" Type="http://schemas.openxmlformats.org/officeDocument/2006/relationships/hyperlink" Target="https://pbs.twimg.com/media/DspN5E_VAAAbTWw.jpg" TargetMode="External"/><Relationship Id="rId488" Type="http://schemas.openxmlformats.org/officeDocument/2006/relationships/hyperlink" Target="https://pbs.twimg.com/media/Dsnah_rWkAYbTJO.jpg" TargetMode="External"/><Relationship Id="rId695" Type="http://schemas.openxmlformats.org/officeDocument/2006/relationships/hyperlink" Target="http://www.ciudadanos-cs.org/" TargetMode="External"/><Relationship Id="rId2169" Type="http://schemas.openxmlformats.org/officeDocument/2006/relationships/hyperlink" Target="http://www.lavanguardia.com/" TargetMode="External"/><Relationship Id="rId2376" Type="http://schemas.openxmlformats.org/officeDocument/2006/relationships/hyperlink" Target="https://www.huffingtonpost.es/2018/11/19/teresa-rodriguez-llama-albert-primo-de-rivera-a-albert-rivera_a_23594091/?ncid=other_twitter_cooo9wqtham&amp;utm_campaign=share_twitter" TargetMode="External"/><Relationship Id="rId2583" Type="http://schemas.openxmlformats.org/officeDocument/2006/relationships/hyperlink" Target="https://twitter.com/Zetainexxx/favorites" TargetMode="External"/><Relationship Id="rId2790" Type="http://schemas.openxmlformats.org/officeDocument/2006/relationships/hyperlink" Target="https://pbs.twimg.com/media/DsZhdjZWsAA0sX4.jpg" TargetMode="External"/><Relationship Id="rId110" Type="http://schemas.openxmlformats.org/officeDocument/2006/relationships/hyperlink" Target="https://pbs.twimg.com/media/DsovbbzXQAAdlRC.jpg" TargetMode="External"/><Relationship Id="rId348" Type="http://schemas.openxmlformats.org/officeDocument/2006/relationships/hyperlink" Target="http://www.noticias24horas.com/" TargetMode="External"/><Relationship Id="rId555" Type="http://schemas.openxmlformats.org/officeDocument/2006/relationships/hyperlink" Target="http://www.lacerca.com/noticias/espana/albert-rivera-ignacio-concentracion-espana-ciudadana-indultos-elecciones-446205-1.html" TargetMode="External"/><Relationship Id="rId762" Type="http://schemas.openxmlformats.org/officeDocument/2006/relationships/hyperlink" Target="https://m.eldiario.es/31fabdf9_838516217/" TargetMode="External"/><Relationship Id="rId1185" Type="http://schemas.openxmlformats.org/officeDocument/2006/relationships/hyperlink" Target="https://www.elplural.com/politica/albert-rivera-extrema-derecha-vox-respuesta-entrevista_206736102" TargetMode="External"/><Relationship Id="rId1392" Type="http://schemas.openxmlformats.org/officeDocument/2006/relationships/hyperlink" Target="https://pbs.twimg.com/media/DshvpkJX4AEZpod.jpg" TargetMode="External"/><Relationship Id="rId2029" Type="http://schemas.openxmlformats.org/officeDocument/2006/relationships/hyperlink" Target="https://pbs.twimg.com/media/DseOcRMWwAE14sN.jpg" TargetMode="External"/><Relationship Id="rId2236" Type="http://schemas.openxmlformats.org/officeDocument/2006/relationships/hyperlink" Target="http://www.compostela24horas.com/" TargetMode="External"/><Relationship Id="rId2443" Type="http://schemas.openxmlformats.org/officeDocument/2006/relationships/hyperlink" Target="http://pic.twitter.com/YLR44Ju9Y7" TargetMode="External"/><Relationship Id="rId2650" Type="http://schemas.openxmlformats.org/officeDocument/2006/relationships/hyperlink" Target="https://www.elmundo.es/cataluna/2018/11/20/5bf30ac5468aeb7a7e8b4607.html" TargetMode="External"/><Relationship Id="rId208" Type="http://schemas.openxmlformats.org/officeDocument/2006/relationships/hyperlink" Target="https://twitter.com/marinaLobL/status/1065219820482936833" TargetMode="External"/><Relationship Id="rId415" Type="http://schemas.openxmlformats.org/officeDocument/2006/relationships/hyperlink" Target="http://multisportsada.blogspot.com/" TargetMode="External"/><Relationship Id="rId622" Type="http://schemas.openxmlformats.org/officeDocument/2006/relationships/hyperlink" Target="https://www.elplural.com/politica/albert-rivera-copia-modelo-bus-propagandista-que-critico-a-podemos_206760102" TargetMode="External"/><Relationship Id="rId1045" Type="http://schemas.openxmlformats.org/officeDocument/2006/relationships/hyperlink" Target="https://www.facebook.com/100000095060231/posts/2178999835446497/" TargetMode="External"/><Relationship Id="rId1252" Type="http://schemas.openxmlformats.org/officeDocument/2006/relationships/hyperlink" Target="https://pbs.twimg.com/media/DsigaBzXgAAVBmP.jpg" TargetMode="External"/><Relationship Id="rId1697" Type="http://schemas.openxmlformats.org/officeDocument/2006/relationships/hyperlink" Target="http://elpais.com/autor/jose_marcos/a" TargetMode="External"/><Relationship Id="rId2303" Type="http://schemas.openxmlformats.org/officeDocument/2006/relationships/hyperlink" Target="https://pbs.twimg.com/media/Dsdq4FVX4AA71d9.jpg" TargetMode="External"/><Relationship Id="rId2510" Type="http://schemas.openxmlformats.org/officeDocument/2006/relationships/hyperlink" Target="https://www.elmundo.es/espana/2018/11/20/5bf3e474e2704ec6568b4825.html" TargetMode="External"/><Relationship Id="rId2748" Type="http://schemas.openxmlformats.org/officeDocument/2006/relationships/hyperlink" Target="https://www.huffingtonpost.es/2018/11/19/teresa-rodriguez-llama-albert-primo-de-rivera-a-albert-rivera_a_23594091/" TargetMode="External"/><Relationship Id="rId927" Type="http://schemas.openxmlformats.org/officeDocument/2006/relationships/hyperlink" Target="https://www.facebook.com/Heliodororodriguez/posts/10160968988460244" TargetMode="External"/><Relationship Id="rId1112" Type="http://schemas.openxmlformats.org/officeDocument/2006/relationships/hyperlink" Target="https://youtu.be/3RktiXmHE5g" TargetMode="External"/><Relationship Id="rId1557" Type="http://schemas.openxmlformats.org/officeDocument/2006/relationships/hyperlink" Target="https://www.ecorepublicano.es/2018/11/tarda-rivera-cada-vez-que-usted-nos.html" TargetMode="External"/><Relationship Id="rId1764" Type="http://schemas.openxmlformats.org/officeDocument/2006/relationships/hyperlink" Target="https://pbs.twimg.com/media/Dsgqf6uXcAA8y-u.jpg" TargetMode="External"/><Relationship Id="rId1971" Type="http://schemas.openxmlformats.org/officeDocument/2006/relationships/hyperlink" Target="https://pbs.twimg.com/media/Dsd13jTVYAAsuW9.jpg" TargetMode="External"/><Relationship Id="rId2608" Type="http://schemas.openxmlformats.org/officeDocument/2006/relationships/hyperlink" Target="http://elperiodi.co/gzckq1" TargetMode="External"/><Relationship Id="rId56" Type="http://schemas.openxmlformats.org/officeDocument/2006/relationships/hyperlink" Target="https://pbs.twimg.com/media/DssKRi-XQAIcwpD.jpg" TargetMode="External"/><Relationship Id="rId1417" Type="http://schemas.openxmlformats.org/officeDocument/2006/relationships/hyperlink" Target="https://www.publico.es/tremending/2018/11/21/por-que-albert-rivera-no-se-atreve-a-decir-que-vox-es-extrema-derecha-twitter-analiza-los-motivos/" TargetMode="External"/><Relationship Id="rId1624" Type="http://schemas.openxmlformats.org/officeDocument/2006/relationships/hyperlink" Target="https://pbs.twimg.com/media/DshJWBVVsAENGZW.jpg" TargetMode="External"/><Relationship Id="rId1831" Type="http://schemas.openxmlformats.org/officeDocument/2006/relationships/hyperlink" Target="http://youtu.be/NVSW54BAaOM?a" TargetMode="External"/><Relationship Id="rId1929" Type="http://schemas.openxmlformats.org/officeDocument/2006/relationships/hyperlink" Target="https://m.facebook.com/ciudadanosmacarena/" TargetMode="External"/><Relationship Id="rId2093" Type="http://schemas.openxmlformats.org/officeDocument/2006/relationships/hyperlink" Target="http://bit.ly/2TuSpdG" TargetMode="External"/><Relationship Id="rId2398" Type="http://schemas.openxmlformats.org/officeDocument/2006/relationships/hyperlink" Target="https://www.elmundo.es/espana/2018/11/20/5bf3e474e2704ec6568b4825.html" TargetMode="External"/><Relationship Id="rId272" Type="http://schemas.openxmlformats.org/officeDocument/2006/relationships/hyperlink" Target="https://pbs.twimg.com/media/Dso6QtyUwAAOSPR.jpg" TargetMode="External"/><Relationship Id="rId577" Type="http://schemas.openxmlformats.org/officeDocument/2006/relationships/hyperlink" Target="https://www.elmundo.es/espana/2018/11/22/5bf6a067e5fdea356f8b4633.html" TargetMode="External"/><Relationship Id="rId2160" Type="http://schemas.openxmlformats.org/officeDocument/2006/relationships/hyperlink" Target="https://www.ciudadanos-cs.org/" TargetMode="External"/><Relationship Id="rId2258" Type="http://schemas.openxmlformats.org/officeDocument/2006/relationships/hyperlink" Target="https://youtu.be/Vvvq1GenBy4" TargetMode="External"/><Relationship Id="rId132" Type="http://schemas.openxmlformats.org/officeDocument/2006/relationships/hyperlink" Target="http://espacioabiertoblog.wordpress.com/" TargetMode="External"/><Relationship Id="rId784" Type="http://schemas.openxmlformats.org/officeDocument/2006/relationships/hyperlink" Target="https://www.facebook.com/pages/Juan-Carlos-DZ/102718446446495?fref=ts" TargetMode="External"/><Relationship Id="rId991" Type="http://schemas.openxmlformats.org/officeDocument/2006/relationships/hyperlink" Target="http://www.etnikal.es/" TargetMode="External"/><Relationship Id="rId1067" Type="http://schemas.openxmlformats.org/officeDocument/2006/relationships/hyperlink" Target="https://www.elplural.com/politica/albert-rivera-copia-modelo-bus-propagandista-que-critico-a-podemos_206760102" TargetMode="External"/><Relationship Id="rId2020" Type="http://schemas.openxmlformats.org/officeDocument/2006/relationships/hyperlink" Target="http://pic.twitter.com/9ln5uk78hs" TargetMode="External"/><Relationship Id="rId2465" Type="http://schemas.openxmlformats.org/officeDocument/2006/relationships/hyperlink" Target="https://twitter.com/superwomanroja/status/1064859912302444544" TargetMode="External"/><Relationship Id="rId2672" Type="http://schemas.openxmlformats.org/officeDocument/2006/relationships/hyperlink" Target="https://pbs.twimg.com/media/DsbtjfjXgAADLk7.jpg" TargetMode="External"/><Relationship Id="rId437" Type="http://schemas.openxmlformats.org/officeDocument/2006/relationships/hyperlink" Target="https://www.elmundo.es/espana/2018/11/22/5bf6a067e5fdea356f8b4633.html" TargetMode="External"/><Relationship Id="rId644" Type="http://schemas.openxmlformats.org/officeDocument/2006/relationships/hyperlink" Target="https://www.elperiodico.com/es/politica/20181122/albert-rivera-2017-montar-autobus-no-es-hacer-oposicion-7161584?utm_source=twitter&amp;utm_medium=social" TargetMode="External"/><Relationship Id="rId851" Type="http://schemas.openxmlformats.org/officeDocument/2006/relationships/hyperlink" Target="https://www.ciudadanos-cs.org/" TargetMode="External"/><Relationship Id="rId1274" Type="http://schemas.openxmlformats.org/officeDocument/2006/relationships/hyperlink" Target="https://www.elplural.com/politica/albert-rivera-extrema-derecha-vox-respuesta-entrevista_206736102" TargetMode="External"/><Relationship Id="rId1481" Type="http://schemas.openxmlformats.org/officeDocument/2006/relationships/hyperlink" Target="http://www.telemadrid.es/120minutos" TargetMode="External"/><Relationship Id="rId1579" Type="http://schemas.openxmlformats.org/officeDocument/2006/relationships/hyperlink" Target="https://pbs.twimg.com/media/DshReBaXcAA4oYM.jpg" TargetMode="External"/><Relationship Id="rId2118" Type="http://schemas.openxmlformats.org/officeDocument/2006/relationships/hyperlink" Target="https://youtu.be/q3y3WyvX06A" TargetMode="External"/><Relationship Id="rId2325" Type="http://schemas.openxmlformats.org/officeDocument/2006/relationships/hyperlink" Target="http://www.ciudadanos-cs.org/" TargetMode="External"/><Relationship Id="rId2532" Type="http://schemas.openxmlformats.org/officeDocument/2006/relationships/hyperlink" Target="http://mysouthofnonorth.wordpress.com/" TargetMode="External"/><Relationship Id="rId504" Type="http://schemas.openxmlformats.org/officeDocument/2006/relationships/hyperlink" Target="https://www.elperiodico.com/es/politica/20181122/albert-rivera-2017-montar-autobus-no-es-hacer-oposicion-7161584" TargetMode="External"/><Relationship Id="rId711" Type="http://schemas.openxmlformats.org/officeDocument/2006/relationships/hyperlink" Target="https://www.elperiodico.com/es/politica/20181122/albert-rivera-2017-montar-autobus-no-es-hacer-oposicion-7161584?utm_source=twitter&amp;utm_medium=social" TargetMode="External"/><Relationship Id="rId949" Type="http://schemas.openxmlformats.org/officeDocument/2006/relationships/hyperlink" Target="http://instagram.com/noquemecanso" TargetMode="External"/><Relationship Id="rId1134" Type="http://schemas.openxmlformats.org/officeDocument/2006/relationships/hyperlink" Target="https://bit.ly/2AaGpVP" TargetMode="External"/><Relationship Id="rId1341" Type="http://schemas.openxmlformats.org/officeDocument/2006/relationships/hyperlink" Target="https://pbs.twimg.com/media/DsiHK4HWwAAKXUC.jpg" TargetMode="External"/><Relationship Id="rId1786" Type="http://schemas.openxmlformats.org/officeDocument/2006/relationships/hyperlink" Target="http://ortanchiviris.over-blog.com/" TargetMode="External"/><Relationship Id="rId1993" Type="http://schemas.openxmlformats.org/officeDocument/2006/relationships/hyperlink" Target="http://suburbiasqueen.tumblr.com/" TargetMode="External"/><Relationship Id="rId78" Type="http://schemas.openxmlformats.org/officeDocument/2006/relationships/hyperlink" Target="http://jovenes.ciudadanos-cs.org/" TargetMode="External"/><Relationship Id="rId809" Type="http://schemas.openxmlformats.org/officeDocument/2006/relationships/hyperlink" Target="https://plus.google.com/+JaiminhoPimpampum" TargetMode="External"/><Relationship Id="rId1201" Type="http://schemas.openxmlformats.org/officeDocument/2006/relationships/hyperlink" Target="http://tremending.publico.es/" TargetMode="External"/><Relationship Id="rId1439" Type="http://schemas.openxmlformats.org/officeDocument/2006/relationships/hyperlink" Target="http://pic.twitter.com/4hS0NzgcVI" TargetMode="External"/><Relationship Id="rId1646" Type="http://schemas.openxmlformats.org/officeDocument/2006/relationships/hyperlink" Target="https://pbs.twimg.com/media/DsgwGuqU8AEeA9d.jpg" TargetMode="External"/><Relationship Id="rId1853" Type="http://schemas.openxmlformats.org/officeDocument/2006/relationships/hyperlink" Target="https://twitter.com/Albert_Rivera/status/1064950502423740417" TargetMode="External"/><Relationship Id="rId1506" Type="http://schemas.openxmlformats.org/officeDocument/2006/relationships/hyperlink" Target="http://www.cuadernostm.com/" TargetMode="External"/><Relationship Id="rId1713" Type="http://schemas.openxmlformats.org/officeDocument/2006/relationships/hyperlink" Target="http://www.unpapaenpracticas.com/" TargetMode="External"/><Relationship Id="rId1920" Type="http://schemas.openxmlformats.org/officeDocument/2006/relationships/hyperlink" Target="http://pic.twitter.com/Sr1EHfTjT6" TargetMode="External"/><Relationship Id="rId294" Type="http://schemas.openxmlformats.org/officeDocument/2006/relationships/hyperlink" Target="http://abogadomoh.wordpress.com/" TargetMode="External"/><Relationship Id="rId2182" Type="http://schemas.openxmlformats.org/officeDocument/2006/relationships/hyperlink" Target="http://pic.twitter.com/okhpdK7tqj" TargetMode="External"/><Relationship Id="rId154" Type="http://schemas.openxmlformats.org/officeDocument/2006/relationships/hyperlink" Target="http://www.youtube.com/sila661" TargetMode="External"/><Relationship Id="rId361" Type="http://schemas.openxmlformats.org/officeDocument/2006/relationships/hyperlink" Target="https://www.elmundo.es/espana/2018/11/22/5bf6a067e5fdea356f8b4633.html" TargetMode="External"/><Relationship Id="rId599" Type="http://schemas.openxmlformats.org/officeDocument/2006/relationships/hyperlink" Target="http://jpombo.es/" TargetMode="External"/><Relationship Id="rId2042" Type="http://schemas.openxmlformats.org/officeDocument/2006/relationships/hyperlink" Target="http://canarias.ciudadanos-cs.org/" TargetMode="External"/><Relationship Id="rId2487" Type="http://schemas.openxmlformats.org/officeDocument/2006/relationships/hyperlink" Target="https://twitter.com/PPopular/status/1064835223702122496" TargetMode="External"/><Relationship Id="rId2694" Type="http://schemas.openxmlformats.org/officeDocument/2006/relationships/hyperlink" Target="http://www.um.es/mlmorell/" TargetMode="External"/><Relationship Id="rId459" Type="http://schemas.openxmlformats.org/officeDocument/2006/relationships/hyperlink" Target="http://almudenas.website/" TargetMode="External"/><Relationship Id="rId666" Type="http://schemas.openxmlformats.org/officeDocument/2006/relationships/hyperlink" Target="https://yopsramon.wordpress.com/" TargetMode="External"/><Relationship Id="rId873" Type="http://schemas.openxmlformats.org/officeDocument/2006/relationships/hyperlink" Target="http://www.antonimanchado.com/" TargetMode="External"/><Relationship Id="rId1089" Type="http://schemas.openxmlformats.org/officeDocument/2006/relationships/hyperlink" Target="https://www.publico.es/tremending/2018/11/21/por-que-albert-rivera-no-se-atreve-a-decir-que-vox-es-extrema-derecha-twitter-analiza-los-motivos/" TargetMode="External"/><Relationship Id="rId1296" Type="http://schemas.openxmlformats.org/officeDocument/2006/relationships/hyperlink" Target="https://pbs.twimg.com/media/DsiTXwuWoAEb0rB.jpg" TargetMode="External"/><Relationship Id="rId2347" Type="http://schemas.openxmlformats.org/officeDocument/2006/relationships/hyperlink" Target="https://pbs.twimg.com/media/DsdjbruXQAMGfVh.jpg" TargetMode="External"/><Relationship Id="rId2554" Type="http://schemas.openxmlformats.org/officeDocument/2006/relationships/hyperlink" Target="http://madressolterasporeleccion.org/" TargetMode="External"/><Relationship Id="rId221" Type="http://schemas.openxmlformats.org/officeDocument/2006/relationships/hyperlink" Target="https://www.elmundo.es/espana/2018/11/22/5bf6a067e5fdea356f8b4633.html" TargetMode="External"/><Relationship Id="rId319" Type="http://schemas.openxmlformats.org/officeDocument/2006/relationships/hyperlink" Target="https://twitter.com/VVSinMiedo/status/1065630099997945857" TargetMode="External"/><Relationship Id="rId526" Type="http://schemas.openxmlformats.org/officeDocument/2006/relationships/hyperlink" Target="https://www.elmundo.es/espana/2018/11/22/5bf6a067e5fdea356f8b4633.html" TargetMode="External"/><Relationship Id="rId1156" Type="http://schemas.openxmlformats.org/officeDocument/2006/relationships/hyperlink" Target="http://www.ciudadanos-cs.org/" TargetMode="External"/><Relationship Id="rId1363" Type="http://schemas.openxmlformats.org/officeDocument/2006/relationships/hyperlink" Target="http://red-juridica.com/" TargetMode="External"/><Relationship Id="rId2207" Type="http://schemas.openxmlformats.org/officeDocument/2006/relationships/hyperlink" Target="http://www.esquerra.cat/" TargetMode="External"/><Relationship Id="rId2761" Type="http://schemas.openxmlformats.org/officeDocument/2006/relationships/hyperlink" Target="http://www.madressolterasporeleccion.org/" TargetMode="External"/><Relationship Id="rId733" Type="http://schemas.openxmlformats.org/officeDocument/2006/relationships/hyperlink" Target="https://www.europapress.es/nacional/noticia-rivera-recalca-iglesias-problema-espana-no-monarquia-populismo-20181122130813.html" TargetMode="External"/><Relationship Id="rId940" Type="http://schemas.openxmlformats.org/officeDocument/2006/relationships/hyperlink" Target="https://www.elplural.com/politica/albert-rivera-extrema-derecha-vox-respuesta-entrevista_206736102" TargetMode="External"/><Relationship Id="rId1016" Type="http://schemas.openxmlformats.org/officeDocument/2006/relationships/hyperlink" Target="https://pbs.twimg.com/media/DsgwGuqU8AEeA9d.jpg" TargetMode="External"/><Relationship Id="rId1570" Type="http://schemas.openxmlformats.org/officeDocument/2006/relationships/hyperlink" Target="https://pbs.twimg.com/media/DsgwGuqU8AEeA9d.jpg" TargetMode="External"/><Relationship Id="rId1668" Type="http://schemas.openxmlformats.org/officeDocument/2006/relationships/hyperlink" Target="http://miguelrfervenza.com/" TargetMode="External"/><Relationship Id="rId1875" Type="http://schemas.openxmlformats.org/officeDocument/2006/relationships/hyperlink" Target="http://pic.twitter.com/Cct5u9H7Qs" TargetMode="External"/><Relationship Id="rId2414" Type="http://schemas.openxmlformats.org/officeDocument/2006/relationships/hyperlink" Target="http://www.lacerca.com/noticias/espana/rivera-unico-bueno-queda-legislatura-decreto-convocatoria-elecciones-445744-1.html" TargetMode="External"/><Relationship Id="rId2621" Type="http://schemas.openxmlformats.org/officeDocument/2006/relationships/hyperlink" Target="https://www.eljueves.es/news/albert-rivera-se-pasa-flamenco-para-conseguirse-unos-grammys-2_2958" TargetMode="External"/><Relationship Id="rId2719" Type="http://schemas.openxmlformats.org/officeDocument/2006/relationships/hyperlink" Target="http://www.ciudadanos-cs.org/" TargetMode="External"/><Relationship Id="rId800" Type="http://schemas.openxmlformats.org/officeDocument/2006/relationships/hyperlink" Target="https://www.elespanol.com/espana/20181122/albert-rivera-ayer-escupido-espana/355214760_0.html" TargetMode="External"/><Relationship Id="rId1223" Type="http://schemas.openxmlformats.org/officeDocument/2006/relationships/hyperlink" Target="https://pbs.twimg.com/media/DsipFyuW0AEaWc2.jpg" TargetMode="External"/><Relationship Id="rId1430" Type="http://schemas.openxmlformats.org/officeDocument/2006/relationships/hyperlink" Target="https://www.elplural.com/politica/albert-rivera-copia-modelo-bus-propagandista-que-critico-a-podemos_206760102" TargetMode="External"/><Relationship Id="rId1528" Type="http://schemas.openxmlformats.org/officeDocument/2006/relationships/hyperlink" Target="http://apistonazos.wordpress.com/" TargetMode="External"/><Relationship Id="rId1735" Type="http://schemas.openxmlformats.org/officeDocument/2006/relationships/hyperlink" Target="https://www.youtube.com/watch?v=Vvvq1GenBy4" TargetMode="External"/><Relationship Id="rId1942" Type="http://schemas.openxmlformats.org/officeDocument/2006/relationships/hyperlink" Target="http://www.huffingtonpost.es/" TargetMode="External"/><Relationship Id="rId27" Type="http://schemas.openxmlformats.org/officeDocument/2006/relationships/hyperlink" Target="http://edp.cat/" TargetMode="External"/><Relationship Id="rId1802" Type="http://schemas.openxmlformats.org/officeDocument/2006/relationships/hyperlink" Target="http://www.bitmomentum.com/" TargetMode="External"/><Relationship Id="rId176" Type="http://schemas.openxmlformats.org/officeDocument/2006/relationships/hyperlink" Target="http://www.gigahertz.es/" TargetMode="External"/><Relationship Id="rId383" Type="http://schemas.openxmlformats.org/officeDocument/2006/relationships/hyperlink" Target="https://noticierouniversal.com/actualidad/albert-rivera-a-sanchez-se-le-ha-ido-de-las-manos-el-monstruo-de-frankenstein-que-construyo-con-rufian-iglesias-torra-y-bildu/" TargetMode="External"/><Relationship Id="rId590" Type="http://schemas.openxmlformats.org/officeDocument/2006/relationships/hyperlink" Target="http://pic.twitter.com/Fqqj4JRDSp" TargetMode="External"/><Relationship Id="rId2064" Type="http://schemas.openxmlformats.org/officeDocument/2006/relationships/hyperlink" Target="http://www.ciudadanos-cs.org/" TargetMode="External"/><Relationship Id="rId2271" Type="http://schemas.openxmlformats.org/officeDocument/2006/relationships/hyperlink" Target="https://pbs.twimg.com/media/DsdbSDCWsAEEL2t.jpg" TargetMode="External"/><Relationship Id="rId243" Type="http://schemas.openxmlformats.org/officeDocument/2006/relationships/hyperlink" Target="https://youtu.be/ctENElrhmuk" TargetMode="External"/><Relationship Id="rId450" Type="http://schemas.openxmlformats.org/officeDocument/2006/relationships/hyperlink" Target="http://merlin.cu/" TargetMode="External"/><Relationship Id="rId688" Type="http://schemas.openxmlformats.org/officeDocument/2006/relationships/hyperlink" Target="http://www.ciudadanos-cs.org/" TargetMode="External"/><Relationship Id="rId895" Type="http://schemas.openxmlformats.org/officeDocument/2006/relationships/hyperlink" Target="https://pbs.twimg.com/media/Dsloo9SXoAACTdN.jpg" TargetMode="External"/><Relationship Id="rId1080" Type="http://schemas.openxmlformats.org/officeDocument/2006/relationships/hyperlink" Target="https://pbs.twimg.com/media/DsjQp1WXQAA5JFR.jpg" TargetMode="External"/><Relationship Id="rId2131" Type="http://schemas.openxmlformats.org/officeDocument/2006/relationships/hyperlink" Target="https://www.ciudadanos-cs.org/" TargetMode="External"/><Relationship Id="rId2369" Type="http://schemas.openxmlformats.org/officeDocument/2006/relationships/hyperlink" Target="http://cadenaser.com/ser/2018/11/20/politica/1542720581_866377.html" TargetMode="External"/><Relationship Id="rId2576" Type="http://schemas.openxmlformats.org/officeDocument/2006/relationships/hyperlink" Target="https://pbs.twimg.com/media/DscKyG3XcAEq3dp.jpg" TargetMode="External"/><Relationship Id="rId2783" Type="http://schemas.openxmlformats.org/officeDocument/2006/relationships/hyperlink" Target="http://psoemalagacentro.es/" TargetMode="External"/><Relationship Id="rId103" Type="http://schemas.openxmlformats.org/officeDocument/2006/relationships/hyperlink" Target="https://pbs.twimg.com/media/DsryKV5XcAI7KHr.jpg" TargetMode="External"/><Relationship Id="rId310" Type="http://schemas.openxmlformats.org/officeDocument/2006/relationships/hyperlink" Target="http://pic.twitter.com/iNcg0YoZkj" TargetMode="External"/><Relationship Id="rId548" Type="http://schemas.openxmlformats.org/officeDocument/2006/relationships/hyperlink" Target="https://bit.ly/2AeGHLC" TargetMode="External"/><Relationship Id="rId755" Type="http://schemas.openxmlformats.org/officeDocument/2006/relationships/hyperlink" Target="http://instagram.com/berlustinho" TargetMode="External"/><Relationship Id="rId962" Type="http://schemas.openxmlformats.org/officeDocument/2006/relationships/hyperlink" Target="https://pbs.twimg.com/media/Dsj8xwfWsAMdQLE.jpg" TargetMode="External"/><Relationship Id="rId1178" Type="http://schemas.openxmlformats.org/officeDocument/2006/relationships/hyperlink" Target="http://pic.twitter.com/dT78EdKmdP" TargetMode="External"/><Relationship Id="rId1385" Type="http://schemas.openxmlformats.org/officeDocument/2006/relationships/hyperlink" Target="http://pic.twitter.com/9to3wJLEGt" TargetMode="External"/><Relationship Id="rId1592" Type="http://schemas.openxmlformats.org/officeDocument/2006/relationships/hyperlink" Target="https://pbs.twimg.com/media/DsgwGuqU8AEeA9d.jpg" TargetMode="External"/><Relationship Id="rId2229" Type="http://schemas.openxmlformats.org/officeDocument/2006/relationships/hyperlink" Target="https://es.linkedin.com/in/mruizcastro" TargetMode="External"/><Relationship Id="rId2436" Type="http://schemas.openxmlformats.org/officeDocument/2006/relationships/hyperlink" Target="https://pbs.twimg.com/media/Dsc1bGCW0AA0WXI.jpg" TargetMode="External"/><Relationship Id="rId2643" Type="http://schemas.openxmlformats.org/officeDocument/2006/relationships/hyperlink" Target="https://pbs.twimg.com/media/Dsb2GEVWsAAclK7.jpg" TargetMode="External"/><Relationship Id="rId91" Type="http://schemas.openxmlformats.org/officeDocument/2006/relationships/hyperlink" Target="http://cantabria.ciudadanos-cs.org/" TargetMode="External"/><Relationship Id="rId408" Type="http://schemas.openxmlformats.org/officeDocument/2006/relationships/hyperlink" Target="https://www.elmundo.es/espana/2018/11/22/5bf6a067e5fdea356f8b4633.html" TargetMode="External"/><Relationship Id="rId615" Type="http://schemas.openxmlformats.org/officeDocument/2006/relationships/hyperlink" Target="http://www.youtube.com/sila661" TargetMode="External"/><Relationship Id="rId822" Type="http://schemas.openxmlformats.org/officeDocument/2006/relationships/hyperlink" Target="http://www.ciudadanos-cs.org/" TargetMode="External"/><Relationship Id="rId1038" Type="http://schemas.openxmlformats.org/officeDocument/2006/relationships/hyperlink" Target="https://pbs.twimg.com/media/Dsjd-kAWkAAPNA7.jpg" TargetMode="External"/><Relationship Id="rId1245" Type="http://schemas.openxmlformats.org/officeDocument/2006/relationships/hyperlink" Target="https://pbs.twimg.com/media/DsiixcBWoAA3Cj0.jpg" TargetMode="External"/><Relationship Id="rId1452" Type="http://schemas.openxmlformats.org/officeDocument/2006/relationships/hyperlink" Target="https://www.elnacional.cat/enblau/es/television/albert-rivera-vox-pepa-bueno-cadena-ser_326946_102.html" TargetMode="External"/><Relationship Id="rId1897" Type="http://schemas.openxmlformats.org/officeDocument/2006/relationships/hyperlink" Target="https://mcintamarti.wordpress.com/" TargetMode="External"/><Relationship Id="rId2503" Type="http://schemas.openxmlformats.org/officeDocument/2006/relationships/hyperlink" Target="https://pbs.twimg.com/media/DsckEyCWsAA6yzQ.jpg" TargetMode="External"/><Relationship Id="rId1105" Type="http://schemas.openxmlformats.org/officeDocument/2006/relationships/hyperlink" Target="https://www.elmundo.es/espana/2018/11/21/5bf53f8b268e3e0a5a8b465c.html" TargetMode="External"/><Relationship Id="rId1312" Type="http://schemas.openxmlformats.org/officeDocument/2006/relationships/hyperlink" Target="https://www.publico.es/tremending/2018/11/21/por-que-albert-rivera-no-se-atreve-a-decir-que-vox-es-extrema-derecha-twitter-analiza-los-motivos/" TargetMode="External"/><Relationship Id="rId1757" Type="http://schemas.openxmlformats.org/officeDocument/2006/relationships/hyperlink" Target="http://pic.twitter.com/EVSl1tBjbm" TargetMode="External"/><Relationship Id="rId1964" Type="http://schemas.openxmlformats.org/officeDocument/2006/relationships/hyperlink" Target="https://twitter.com/HispaniaFortius" TargetMode="External"/><Relationship Id="rId2710" Type="http://schemas.openxmlformats.org/officeDocument/2006/relationships/hyperlink" Target="http://a.msn.com/01/es-es/BBPTvWt?ocid=st" TargetMode="External"/><Relationship Id="rId2808" Type="http://schemas.openxmlformats.org/officeDocument/2006/relationships/hyperlink" Target="http://www.contraescritura.com/" TargetMode="External"/><Relationship Id="rId49" Type="http://schemas.openxmlformats.org/officeDocument/2006/relationships/hyperlink" Target="http://www.ciudadanos-cs.org/" TargetMode="External"/><Relationship Id="rId1617" Type="http://schemas.openxmlformats.org/officeDocument/2006/relationships/hyperlink" Target="https://pbs.twimg.com/media/Dsg5kzfXgAANMg6.jpg" TargetMode="External"/><Relationship Id="rId1824" Type="http://schemas.openxmlformats.org/officeDocument/2006/relationships/hyperlink" Target="http://shr.gs/uZPjeBR" TargetMode="External"/><Relationship Id="rId198" Type="http://schemas.openxmlformats.org/officeDocument/2006/relationships/hyperlink" Target="https://www.europapress.es/nacional/noticia-rivera-critica-purga-abogacia-estado-ve-sanchez-servicio-golpistas-seguir-moncloa-20181121191422.html" TargetMode="External"/><Relationship Id="rId2086" Type="http://schemas.openxmlformats.org/officeDocument/2006/relationships/hyperlink" Target="http://www.lacerca.com/" TargetMode="External"/><Relationship Id="rId2293" Type="http://schemas.openxmlformats.org/officeDocument/2006/relationships/hyperlink" Target="http://pic.twitter.com/jfhczFXYmP" TargetMode="External"/><Relationship Id="rId2598" Type="http://schemas.openxmlformats.org/officeDocument/2006/relationships/hyperlink" Target="https://www.elperiodicodearagon.com/amp/noticias/aragon/virgen-pilar-luce-manto-falange-dos-horas_1324900.html?__twitter_impression=true" TargetMode="External"/><Relationship Id="rId265" Type="http://schemas.openxmlformats.org/officeDocument/2006/relationships/hyperlink" Target="https://www.elnacional.cat/enblau/es/television/albert-rivera-vox-pepa-bueno-cadena-ser_326946_102.html" TargetMode="External"/><Relationship Id="rId472" Type="http://schemas.openxmlformats.org/officeDocument/2006/relationships/hyperlink" Target="https://pbs.twimg.com/media/DsnV_BOWkAEjB9a.jpg" TargetMode="External"/><Relationship Id="rId2153" Type="http://schemas.openxmlformats.org/officeDocument/2006/relationships/hyperlink" Target="http://pic.twitter.com/Y7UR4kQ51P" TargetMode="External"/><Relationship Id="rId2360" Type="http://schemas.openxmlformats.org/officeDocument/2006/relationships/hyperlink" Target="https://www.youtube.com/c/ElPeriodistaCamorrista" TargetMode="External"/><Relationship Id="rId125" Type="http://schemas.openxmlformats.org/officeDocument/2006/relationships/hyperlink" Target="http://t.me/ahoracantabria" TargetMode="External"/><Relationship Id="rId332" Type="http://schemas.openxmlformats.org/officeDocument/2006/relationships/hyperlink" Target="https://goo.gl/FehkKe?dkj11=6412196119" TargetMode="External"/><Relationship Id="rId777" Type="http://schemas.openxmlformats.org/officeDocument/2006/relationships/hyperlink" Target="https://pbs.twimg.com/media/DsmiTk3WkAAYF3V.jpg" TargetMode="External"/><Relationship Id="rId984" Type="http://schemas.openxmlformats.org/officeDocument/2006/relationships/hyperlink" Target="https://www.ecorepublicano.es/2018/11/albert-rivera-evita-calificar-vox-como.html" TargetMode="External"/><Relationship Id="rId2013" Type="http://schemas.openxmlformats.org/officeDocument/2006/relationships/hyperlink" Target="http://www.elnacional.cat/es/" TargetMode="External"/><Relationship Id="rId2220" Type="http://schemas.openxmlformats.org/officeDocument/2006/relationships/hyperlink" Target="https://twitter.com/Albert_Rivera/status/1064943434115497984" TargetMode="External"/><Relationship Id="rId2458" Type="http://schemas.openxmlformats.org/officeDocument/2006/relationships/hyperlink" Target="http://www.plsd.es/" TargetMode="External"/><Relationship Id="rId2665" Type="http://schemas.openxmlformats.org/officeDocument/2006/relationships/hyperlink" Target="http://atres.red/prwad1" TargetMode="External"/><Relationship Id="rId637" Type="http://schemas.openxmlformats.org/officeDocument/2006/relationships/hyperlink" Target="http://www.ciudadanos-cs.org/" TargetMode="External"/><Relationship Id="rId844" Type="http://schemas.openxmlformats.org/officeDocument/2006/relationships/hyperlink" Target="http://www.rtve.es/directo/la-1/" TargetMode="External"/><Relationship Id="rId1267" Type="http://schemas.openxmlformats.org/officeDocument/2006/relationships/hyperlink" Target="https://pbs.twimg.com/media/Dsg5pPZUUAAigpp.jpg" TargetMode="External"/><Relationship Id="rId1474" Type="http://schemas.openxmlformats.org/officeDocument/2006/relationships/hyperlink" Target="http://www.telemadrid.es/emision-en-directo/" TargetMode="External"/><Relationship Id="rId1681" Type="http://schemas.openxmlformats.org/officeDocument/2006/relationships/hyperlink" Target="https://twitter.com/superwomanroja/status/1064859912302444544" TargetMode="External"/><Relationship Id="rId2318" Type="http://schemas.openxmlformats.org/officeDocument/2006/relationships/hyperlink" Target="http://atres.red/5hcht1" TargetMode="External"/><Relationship Id="rId2525" Type="http://schemas.openxmlformats.org/officeDocument/2006/relationships/hyperlink" Target="http://pic.twitter.com/0jcVfN030d" TargetMode="External"/><Relationship Id="rId2732" Type="http://schemas.openxmlformats.org/officeDocument/2006/relationships/hyperlink" Target="https://www.elmundo.es/cataluna/2018/11/20/5bf30ac5468aeb7a7e8b4607.html" TargetMode="External"/><Relationship Id="rId704" Type="http://schemas.openxmlformats.org/officeDocument/2006/relationships/hyperlink" Target="https://www.elnacional.cat/es/politica/albert-rivera-acusa-independentistas-escupir-espana_327351_102.html" TargetMode="External"/><Relationship Id="rId911" Type="http://schemas.openxmlformats.org/officeDocument/2006/relationships/hyperlink" Target="http://www.bitmomentum.com/" TargetMode="External"/><Relationship Id="rId1127" Type="http://schemas.openxmlformats.org/officeDocument/2006/relationships/hyperlink" Target="http://ww.cope.es/nfbat5" TargetMode="External"/><Relationship Id="rId1334" Type="http://schemas.openxmlformats.org/officeDocument/2006/relationships/hyperlink" Target="http://www.elindependiente.com/" TargetMode="External"/><Relationship Id="rId1541" Type="http://schemas.openxmlformats.org/officeDocument/2006/relationships/hyperlink" Target="http://about.me/mdamare" TargetMode="External"/><Relationship Id="rId1779" Type="http://schemas.openxmlformats.org/officeDocument/2006/relationships/hyperlink" Target="http://pedrotoribios.blogspot.com.es/" TargetMode="External"/><Relationship Id="rId1986" Type="http://schemas.openxmlformats.org/officeDocument/2006/relationships/hyperlink" Target="http://pic.twitter.com/EjATYpJCnj" TargetMode="External"/><Relationship Id="rId40" Type="http://schemas.openxmlformats.org/officeDocument/2006/relationships/hyperlink" Target="http://pic.twitter.com/h5i4I0PNKb" TargetMode="External"/><Relationship Id="rId1401" Type="http://schemas.openxmlformats.org/officeDocument/2006/relationships/hyperlink" Target="http://www.publico.es/" TargetMode="External"/><Relationship Id="rId1639" Type="http://schemas.openxmlformats.org/officeDocument/2006/relationships/hyperlink" Target="https://www.lavanguardia.com/politica/20181120/453073801172/joan-tarda-albert-rivera-cada-vez-golpistas-llamaremos-fascista.html" TargetMode="External"/><Relationship Id="rId1846" Type="http://schemas.openxmlformats.org/officeDocument/2006/relationships/hyperlink" Target="https://pbs.twimg.com/media/Dse_UQyXgAIs8TO.jpg" TargetMode="External"/><Relationship Id="rId1706" Type="http://schemas.openxmlformats.org/officeDocument/2006/relationships/hyperlink" Target="https://pbs.twimg.com/media/DsgwGuqU8AEeA9d.jpg" TargetMode="External"/><Relationship Id="rId1913" Type="http://schemas.openxmlformats.org/officeDocument/2006/relationships/hyperlink" Target="https://es.linkedin.com/in/aliciadiazalamo" TargetMode="External"/><Relationship Id="rId287" Type="http://schemas.openxmlformats.org/officeDocument/2006/relationships/hyperlink" Target="https://www.elperiodico.com/es/politica/20181122/albert-rivera-2017-montar-autobus-no-es-hacer-oposicion-7161584?utm_source=twitter&amp;utm_medium=social" TargetMode="External"/><Relationship Id="rId494" Type="http://schemas.openxmlformats.org/officeDocument/2006/relationships/hyperlink" Target="https://youtu.be/Vn5QOJG3_SM" TargetMode="External"/><Relationship Id="rId2175" Type="http://schemas.openxmlformats.org/officeDocument/2006/relationships/hyperlink" Target="https://www.elmundo.es/cataluna/2018/11/20/5bf30ac5468aeb7a7e8b4607.html" TargetMode="External"/><Relationship Id="rId2382" Type="http://schemas.openxmlformats.org/officeDocument/2006/relationships/hyperlink" Target="https://www.elmundo.es/espana/2018/11/20/5bf3e474e2704ec6568b4825.html" TargetMode="External"/><Relationship Id="rId147" Type="http://schemas.openxmlformats.org/officeDocument/2006/relationships/hyperlink" Target="http://bit.ly/2QdyIIz" TargetMode="External"/><Relationship Id="rId354" Type="http://schemas.openxmlformats.org/officeDocument/2006/relationships/hyperlink" Target="http://pic.twitter.com/LLX3kUyGVQ" TargetMode="External"/><Relationship Id="rId799" Type="http://schemas.openxmlformats.org/officeDocument/2006/relationships/hyperlink" Target="http://www.bitmomentum.com/" TargetMode="External"/><Relationship Id="rId1191" Type="http://schemas.openxmlformats.org/officeDocument/2006/relationships/hyperlink" Target="http://www.starkindustries.com/" TargetMode="External"/><Relationship Id="rId2035" Type="http://schemas.openxmlformats.org/officeDocument/2006/relationships/hyperlink" Target="https://twitter.com/Albert_Rivera/status/1064950502423740417" TargetMode="External"/><Relationship Id="rId2687" Type="http://schemas.openxmlformats.org/officeDocument/2006/relationships/hyperlink" Target="https://twitter.com/Albert_Rivera/status/1064605981341114371" TargetMode="External"/><Relationship Id="rId561" Type="http://schemas.openxmlformats.org/officeDocument/2006/relationships/hyperlink" Target="http://www.asivaespana.com/" TargetMode="External"/><Relationship Id="rId659" Type="http://schemas.openxmlformats.org/officeDocument/2006/relationships/hyperlink" Target="https://pbs.twimg.com/media/Dsm-eEeXoAA9nhM.jpg" TargetMode="External"/><Relationship Id="rId866" Type="http://schemas.openxmlformats.org/officeDocument/2006/relationships/hyperlink" Target="https://elpais.com/politica/2018/11/21/actualidad/1542812383_600299.html" TargetMode="External"/><Relationship Id="rId1289" Type="http://schemas.openxmlformats.org/officeDocument/2006/relationships/hyperlink" Target="https://www.publico.es/politica/ciudadanos-rivera-cierra-banda-tres-ocasiones-no-decir-vox-extrema-derecha.html" TargetMode="External"/><Relationship Id="rId1496" Type="http://schemas.openxmlformats.org/officeDocument/2006/relationships/hyperlink" Target="https://www.youtube.com/channel/UC3Bwzkx1_CQZ4EtBKDUOwNw" TargetMode="External"/><Relationship Id="rId2242" Type="http://schemas.openxmlformats.org/officeDocument/2006/relationships/hyperlink" Target="https://www.ciudadanos-cs.org/" TargetMode="External"/><Relationship Id="rId2547" Type="http://schemas.openxmlformats.org/officeDocument/2006/relationships/hyperlink" Target="https://pbs.twimg.com/media/DscYld9WoAAzscI.jpg" TargetMode="External"/><Relationship Id="rId214" Type="http://schemas.openxmlformats.org/officeDocument/2006/relationships/hyperlink" Target="https://www.publico.es/espana/manipula-derecha-mezcla-franquismo-comunismo.html" TargetMode="External"/><Relationship Id="rId421" Type="http://schemas.openxmlformats.org/officeDocument/2006/relationships/hyperlink" Target="http://larioja.ciudadanos-cs.org/" TargetMode="External"/><Relationship Id="rId519" Type="http://schemas.openxmlformats.org/officeDocument/2006/relationships/hyperlink" Target="https://www.elmundo.es/espana/2018/11/22/5bf6a067e5fdea356f8b4633.html" TargetMode="External"/><Relationship Id="rId1051" Type="http://schemas.openxmlformats.org/officeDocument/2006/relationships/hyperlink" Target="https://pbs.twimg.com/media/DsjXDo6WkAEXo4d.jpg" TargetMode="External"/><Relationship Id="rId1149" Type="http://schemas.openxmlformats.org/officeDocument/2006/relationships/hyperlink" Target="https://pbs.twimg.com/media/DsgwGuqU8AEeA9d.jpg" TargetMode="External"/><Relationship Id="rId1356" Type="http://schemas.openxmlformats.org/officeDocument/2006/relationships/hyperlink" Target="http://psoefondon.blogspot.com.es/" TargetMode="External"/><Relationship Id="rId2102" Type="http://schemas.openxmlformats.org/officeDocument/2006/relationships/hyperlink" Target="https://youtu.be/GKN2W6ysdlQ" TargetMode="External"/><Relationship Id="rId2754" Type="http://schemas.openxmlformats.org/officeDocument/2006/relationships/hyperlink" Target="https://goo.gl/6krPHi?vqx93=3451776453" TargetMode="External"/><Relationship Id="rId726" Type="http://schemas.openxmlformats.org/officeDocument/2006/relationships/hyperlink" Target="https://pbs.twimg.com/media/DsmyUi4XQAAPYyG.jpg" TargetMode="External"/><Relationship Id="rId933" Type="http://schemas.openxmlformats.org/officeDocument/2006/relationships/hyperlink" Target="http://youtu.be/g6iGsNwc2EU?a" TargetMode="External"/><Relationship Id="rId1009" Type="http://schemas.openxmlformats.org/officeDocument/2006/relationships/hyperlink" Target="https://okdiario.com/espana/2018/11/21/rivera-acusa-sanchez-poner-estado-servicio-golpistas-purga-bal-3377533" TargetMode="External"/><Relationship Id="rId1563" Type="http://schemas.openxmlformats.org/officeDocument/2006/relationships/hyperlink" Target="http://pic.twitter.com/oAGD3KP5T5" TargetMode="External"/><Relationship Id="rId1770" Type="http://schemas.openxmlformats.org/officeDocument/2006/relationships/hyperlink" Target="https://www.ciudadanos-cs.org/" TargetMode="External"/><Relationship Id="rId1868" Type="http://schemas.openxmlformats.org/officeDocument/2006/relationships/hyperlink" Target="http://www.bitmomentum.com/" TargetMode="External"/><Relationship Id="rId2407" Type="http://schemas.openxmlformats.org/officeDocument/2006/relationships/hyperlink" Target="https://pbs.twimg.com/media/Dsbc60fXcAAG1t9.jpg" TargetMode="External"/><Relationship Id="rId2614" Type="http://schemas.openxmlformats.org/officeDocument/2006/relationships/hyperlink" Target="https://youtu.be/V9YYQDqha-Q?iec24=1846833360" TargetMode="External"/><Relationship Id="rId62" Type="http://schemas.openxmlformats.org/officeDocument/2006/relationships/hyperlink" Target="https://twitter.com/JPBellido/status/1065742508515299334" TargetMode="External"/><Relationship Id="rId1216" Type="http://schemas.openxmlformats.org/officeDocument/2006/relationships/hyperlink" Target="http://bit.ly/2S4lag0" TargetMode="External"/><Relationship Id="rId1423" Type="http://schemas.openxmlformats.org/officeDocument/2006/relationships/hyperlink" Target="https://twitter.com/Albert_Rivera/status/1065230411448688640" TargetMode="External"/><Relationship Id="rId1630" Type="http://schemas.openxmlformats.org/officeDocument/2006/relationships/hyperlink" Target="https://pbs.twimg.com/media/DsgwGuqU8AEeA9d.jpg" TargetMode="External"/><Relationship Id="rId1728" Type="http://schemas.openxmlformats.org/officeDocument/2006/relationships/hyperlink" Target="https://twitter.com/garciagarciaix/status/1065144380963602432" TargetMode="External"/><Relationship Id="rId1935" Type="http://schemas.openxmlformats.org/officeDocument/2006/relationships/hyperlink" Target="https://youtu.be/64sgFG9MlcI" TargetMode="External"/><Relationship Id="rId2197" Type="http://schemas.openxmlformats.org/officeDocument/2006/relationships/hyperlink" Target="http://www.ciudadanos-cs.org/" TargetMode="External"/><Relationship Id="rId169" Type="http://schemas.openxmlformats.org/officeDocument/2006/relationships/hyperlink" Target="http://www.youtube.com/sila661" TargetMode="External"/><Relationship Id="rId376" Type="http://schemas.openxmlformats.org/officeDocument/2006/relationships/hyperlink" Target="https://www.lapandereta.es/albert-rivera-evita-por-todos-los-medios-calificar-a-vox-de-extrema-derecha/?fbclid=IwAR0fkhbHZS6WI2wymk5ijI73dSeQBWrbxgruMQ_xlmn65JIRrZyfjGZ_G0A" TargetMode="External"/><Relationship Id="rId583" Type="http://schemas.openxmlformats.org/officeDocument/2006/relationships/hyperlink" Target="http://goo.gl/Us3jnZ" TargetMode="External"/><Relationship Id="rId790" Type="http://schemas.openxmlformats.org/officeDocument/2006/relationships/hyperlink" Target="https://pbs.twimg.com/media/Dsmd_bNX4AEt3Pd.jpg" TargetMode="External"/><Relationship Id="rId2057" Type="http://schemas.openxmlformats.org/officeDocument/2006/relationships/hyperlink" Target="http://pic.twitter.com/DbHOi11xcy" TargetMode="External"/><Relationship Id="rId2264" Type="http://schemas.openxmlformats.org/officeDocument/2006/relationships/hyperlink" Target="http://theyourocktalent.com/" TargetMode="External"/><Relationship Id="rId2471" Type="http://schemas.openxmlformats.org/officeDocument/2006/relationships/hyperlink" Target="http://reachingthecstasy.tumblr.com/" TargetMode="External"/><Relationship Id="rId4" Type="http://schemas.openxmlformats.org/officeDocument/2006/relationships/hyperlink" Target="https://www.libremercado.com/2018-11-23/es-imposible-echar-a-un-funcionario-en-espana-tan-solo-500-inhabilitaciones-desde-1996-1276628683/" TargetMode="External"/><Relationship Id="rId236" Type="http://schemas.openxmlformats.org/officeDocument/2006/relationships/hyperlink" Target="https://twitter.com/p_marcote/status/1065270351335223298" TargetMode="External"/><Relationship Id="rId443" Type="http://schemas.openxmlformats.org/officeDocument/2006/relationships/hyperlink" Target="https://youtu.be/Vn5QOJG3_SM" TargetMode="External"/><Relationship Id="rId650" Type="http://schemas.openxmlformats.org/officeDocument/2006/relationships/hyperlink" Target="https://www.elmundo.es/espana/2018/11/22/5bf6a067e5fdea356f8b4633.html" TargetMode="External"/><Relationship Id="rId888" Type="http://schemas.openxmlformats.org/officeDocument/2006/relationships/hyperlink" Target="https://twitter.com/trendinaliaES/timelines/1065487078991884288" TargetMode="External"/><Relationship Id="rId1073" Type="http://schemas.openxmlformats.org/officeDocument/2006/relationships/hyperlink" Target="http://veoinfo.com/" TargetMode="External"/><Relationship Id="rId1280" Type="http://schemas.openxmlformats.org/officeDocument/2006/relationships/hyperlink" Target="http://www.ciudadanos-cs.org/" TargetMode="External"/><Relationship Id="rId2124" Type="http://schemas.openxmlformats.org/officeDocument/2006/relationships/hyperlink" Target="https://youtu.be/D62g8svIjSc" TargetMode="External"/><Relationship Id="rId2331" Type="http://schemas.openxmlformats.org/officeDocument/2006/relationships/hyperlink" Target="https://www.elmundo.es/espana/2018/11/20/5bf3e474e2704ec6568b4825.html" TargetMode="External"/><Relationship Id="rId2569" Type="http://schemas.openxmlformats.org/officeDocument/2006/relationships/hyperlink" Target="http://pic.twitter.com/BZrPnR06KV" TargetMode="External"/><Relationship Id="rId2776" Type="http://schemas.openxmlformats.org/officeDocument/2006/relationships/hyperlink" Target="http://instagram.com/diandrar23" TargetMode="External"/><Relationship Id="rId303" Type="http://schemas.openxmlformats.org/officeDocument/2006/relationships/hyperlink" Target="https://pbs.twimg.com/media/DsozQd7X4AIPQ-1.jpg" TargetMode="External"/><Relationship Id="rId748" Type="http://schemas.openxmlformats.org/officeDocument/2006/relationships/hyperlink" Target="https://www.ciudadanos-cs.org/" TargetMode="External"/><Relationship Id="rId955" Type="http://schemas.openxmlformats.org/officeDocument/2006/relationships/hyperlink" Target="https://www.elplural.com/politica/albert-rivera-copia-modelo-bus-propagandista-que-critico-a-podemos_206760102" TargetMode="External"/><Relationship Id="rId1140" Type="http://schemas.openxmlformats.org/officeDocument/2006/relationships/hyperlink" Target="https://youtu.be/3RktiXmHE5g" TargetMode="External"/><Relationship Id="rId1378" Type="http://schemas.openxmlformats.org/officeDocument/2006/relationships/hyperlink" Target="http://www.facebook.com/david.borrellperis" TargetMode="External"/><Relationship Id="rId1585" Type="http://schemas.openxmlformats.org/officeDocument/2006/relationships/hyperlink" Target="https://pbs.twimg.com/media/DsgwGuqU8AEeA9d.jpg" TargetMode="External"/><Relationship Id="rId1792" Type="http://schemas.openxmlformats.org/officeDocument/2006/relationships/hyperlink" Target="https://www.lavanguardia.com/politica/20181120/453073801172/joan-tarda-albert-rivera-cada-vez-golpistas-llamaremos-fascista.html" TargetMode="External"/><Relationship Id="rId2429" Type="http://schemas.openxmlformats.org/officeDocument/2006/relationships/hyperlink" Target="https://www.eljueves.es/news/albert-rivera-se-pasa-flamenco-para-conseguirse-unos-grammys-2_2958" TargetMode="External"/><Relationship Id="rId2636" Type="http://schemas.openxmlformats.org/officeDocument/2006/relationships/hyperlink" Target="http://www.ciudadanos-cs.org/" TargetMode="External"/><Relationship Id="rId84" Type="http://schemas.openxmlformats.org/officeDocument/2006/relationships/hyperlink" Target="https://youtu.be/OZGkkjyaPuI" TargetMode="External"/><Relationship Id="rId510" Type="http://schemas.openxmlformats.org/officeDocument/2006/relationships/hyperlink" Target="http://elpobrecitohabladordelsigloxxi.blogspot.com/" TargetMode="External"/><Relationship Id="rId608" Type="http://schemas.openxmlformats.org/officeDocument/2006/relationships/hyperlink" Target="https://www.redaccionmedica.com/secciones/parlamentarios/ley-de-paliativos-inhabilitacion-al-medico-por-obstruir-o-negar-cuidados-7305" TargetMode="External"/><Relationship Id="rId815" Type="http://schemas.openxmlformats.org/officeDocument/2006/relationships/hyperlink" Target="http://pic.twitter.com/V993w4Y5KD" TargetMode="External"/><Relationship Id="rId1238" Type="http://schemas.openxmlformats.org/officeDocument/2006/relationships/hyperlink" Target="https://www.wattpad.com/user/Xiscthulhu" TargetMode="External"/><Relationship Id="rId1445" Type="http://schemas.openxmlformats.org/officeDocument/2006/relationships/hyperlink" Target="http://www.lahoradigital.com/" TargetMode="External"/><Relationship Id="rId1652" Type="http://schemas.openxmlformats.org/officeDocument/2006/relationships/hyperlink" Target="http://youtu.be/Vvvq1GenBy4?a" TargetMode="External"/><Relationship Id="rId1000" Type="http://schemas.openxmlformats.org/officeDocument/2006/relationships/hyperlink" Target="https://twitter.com/jmangues/status/1065215466304618496" TargetMode="External"/><Relationship Id="rId1305" Type="http://schemas.openxmlformats.org/officeDocument/2006/relationships/hyperlink" Target="http://www.bitmomentum.com/" TargetMode="External"/><Relationship Id="rId1957" Type="http://schemas.openxmlformats.org/officeDocument/2006/relationships/hyperlink" Target="https://twitter.com/GuajeSalvaje/status/1064954703992299523" TargetMode="External"/><Relationship Id="rId2703" Type="http://schemas.openxmlformats.org/officeDocument/2006/relationships/hyperlink" Target="http://pic.twitter.com/J5ONhaigpw" TargetMode="External"/><Relationship Id="rId1512" Type="http://schemas.openxmlformats.org/officeDocument/2006/relationships/hyperlink" Target="https://m.eldiario.es/_31f566ee" TargetMode="External"/><Relationship Id="rId1817" Type="http://schemas.openxmlformats.org/officeDocument/2006/relationships/hyperlink" Target="http://youtu.be/zwxkHCgJXHw?a" TargetMode="External"/><Relationship Id="rId11" Type="http://schemas.openxmlformats.org/officeDocument/2006/relationships/hyperlink" Target="http://instagram.com/fallasartist" TargetMode="External"/><Relationship Id="rId398" Type="http://schemas.openxmlformats.org/officeDocument/2006/relationships/hyperlink" Target="https://www.publico.es/tremending/2018/11/21/por-que-albert-rivera-no-se-atreve-a-decir-que-vox-es-extrema-derecha-twitter-analiza-los-motivos/?utm_source=twitter&amp;utm_medium=social&amp;utm_campaign=tremending" TargetMode="External"/><Relationship Id="rId2079" Type="http://schemas.openxmlformats.org/officeDocument/2006/relationships/hyperlink" Target="https://pbs.twimg.com/media/DseE6RBWkAAAeTZ.jpg" TargetMode="External"/><Relationship Id="rId160" Type="http://schemas.openxmlformats.org/officeDocument/2006/relationships/hyperlink" Target="https://pbs.twimg.com/media/DsrY8LmXoAAy2Uj.jpg" TargetMode="External"/><Relationship Id="rId2286" Type="http://schemas.openxmlformats.org/officeDocument/2006/relationships/hyperlink" Target="https://pbs.twimg.com/media/Dsds1VLXcAA3Ud5.jpg" TargetMode="External"/><Relationship Id="rId2493" Type="http://schemas.openxmlformats.org/officeDocument/2006/relationships/hyperlink" Target="https://www.ciudadanos-cs.org/prensa/rivera-a-sanchez-y-casado-tiren-a-la-basura-ese-pacto-de-la-verguenza-y-voten-ley-de-ciudadanos-para-que-los-vocales-del-cgpj-los-elijan-jueces/11081" TargetMode="External"/><Relationship Id="rId258" Type="http://schemas.openxmlformats.org/officeDocument/2006/relationships/hyperlink" Target="https://pbs.twimg.com/media/DspGyR-V4AAxwv7.jpg" TargetMode="External"/><Relationship Id="rId465" Type="http://schemas.openxmlformats.org/officeDocument/2006/relationships/hyperlink" Target="https://www.elmundo.es/espana/2018/11/22/5bf6a067e5fdea356f8b4633.html" TargetMode="External"/><Relationship Id="rId672" Type="http://schemas.openxmlformats.org/officeDocument/2006/relationships/hyperlink" Target="http://www.trainyourtalent.net/" TargetMode="External"/><Relationship Id="rId1095" Type="http://schemas.openxmlformats.org/officeDocument/2006/relationships/hyperlink" Target="http://pic.twitter.com/4nxaiOKpJ4" TargetMode="External"/><Relationship Id="rId2146" Type="http://schemas.openxmlformats.org/officeDocument/2006/relationships/hyperlink" Target="https://youtu.be/D62g8svIjSc" TargetMode="External"/><Relationship Id="rId2353" Type="http://schemas.openxmlformats.org/officeDocument/2006/relationships/hyperlink" Target="https://twitter.com/superwomanroja/status/1064859912302444544" TargetMode="External"/><Relationship Id="rId2560" Type="http://schemas.openxmlformats.org/officeDocument/2006/relationships/hyperlink" Target="https://www.elmundo.es/cataluna/2018/11/20/5bf30ac5468aeb7a7e8b4607.html" TargetMode="External"/><Relationship Id="rId2798" Type="http://schemas.openxmlformats.org/officeDocument/2006/relationships/hyperlink" Target="https://www.instagram.com/miguelangelrb3/" TargetMode="External"/><Relationship Id="rId118" Type="http://schemas.openxmlformats.org/officeDocument/2006/relationships/hyperlink" Target="https://twitter.com/cunadometro/status/1065906645413318656" TargetMode="External"/><Relationship Id="rId325" Type="http://schemas.openxmlformats.org/officeDocument/2006/relationships/hyperlink" Target="https://www.elmundo.es/espana/2018/11/22/5bf6a067e5fdea356f8b4633.html" TargetMode="External"/><Relationship Id="rId532" Type="http://schemas.openxmlformats.org/officeDocument/2006/relationships/hyperlink" Target="https://www.elmundo.es/espana/2018/11/22/5bf6a067e5fdea356f8b4633.html" TargetMode="External"/><Relationship Id="rId977" Type="http://schemas.openxmlformats.org/officeDocument/2006/relationships/hyperlink" Target="http://www.ondacero.es/programas/la-brujula/" TargetMode="External"/><Relationship Id="rId1162" Type="http://schemas.openxmlformats.org/officeDocument/2006/relationships/hyperlink" Target="https://twitter.com/tremending/status/1065310220669337600" TargetMode="External"/><Relationship Id="rId2006" Type="http://schemas.openxmlformats.org/officeDocument/2006/relationships/hyperlink" Target="https://www.abc.es/espana/abci-psoe-contra-prohibir-indulto-responsables-proces-201811201452_noticia.html" TargetMode="External"/><Relationship Id="rId2213" Type="http://schemas.openxmlformats.org/officeDocument/2006/relationships/hyperlink" Target="http://ciudadanos-cs.org/" TargetMode="External"/><Relationship Id="rId2420" Type="http://schemas.openxmlformats.org/officeDocument/2006/relationships/hyperlink" Target="https://pbs.twimg.com/media/Dsc9ss7X4AAcJd5.jpg" TargetMode="External"/><Relationship Id="rId2658" Type="http://schemas.openxmlformats.org/officeDocument/2006/relationships/hyperlink" Target="https://twitter.com/diariogos/status/1063692226524532736" TargetMode="External"/><Relationship Id="rId837" Type="http://schemas.openxmlformats.org/officeDocument/2006/relationships/hyperlink" Target="http://precisionenlaprensa.blogspot.com.es/" TargetMode="External"/><Relationship Id="rId1022" Type="http://schemas.openxmlformats.org/officeDocument/2006/relationships/hyperlink" Target="https://twitter.com/grancocolio/status/1065190030883340288" TargetMode="External"/><Relationship Id="rId1467" Type="http://schemas.openxmlformats.org/officeDocument/2006/relationships/hyperlink" Target="https://www.publico.es/tremending/2018/11/21/por-que-albert-rivera-no-se-atreve-a-decir-que-vox-es-extrema-derecha-twitter-analiza-los-motivos/" TargetMode="External"/><Relationship Id="rId1674" Type="http://schemas.openxmlformats.org/officeDocument/2006/relationships/hyperlink" Target="https://gorkarabela.wordpress.com/" TargetMode="External"/><Relationship Id="rId1881" Type="http://schemas.openxmlformats.org/officeDocument/2006/relationships/hyperlink" Target="https://twitter.com/isonmayu/status/1064604437304524800" TargetMode="External"/><Relationship Id="rId2518" Type="http://schemas.openxmlformats.org/officeDocument/2006/relationships/hyperlink" Target="http://pic.twitter.com/FMqcZCMoI8" TargetMode="External"/><Relationship Id="rId2725" Type="http://schemas.openxmlformats.org/officeDocument/2006/relationships/hyperlink" Target="https://pbs.twimg.com/media/DsYVIY0XQAE70LD.jpg" TargetMode="External"/><Relationship Id="rId904" Type="http://schemas.openxmlformats.org/officeDocument/2006/relationships/hyperlink" Target="https://twitter.com/gerardotc/status/1065172100263096320" TargetMode="External"/><Relationship Id="rId1327" Type="http://schemas.openxmlformats.org/officeDocument/2006/relationships/hyperlink" Target="https://www.facebook.com/pages/Ciudadanos-Pescados/921115804614055?fref=nf" TargetMode="External"/><Relationship Id="rId1534" Type="http://schemas.openxmlformats.org/officeDocument/2006/relationships/hyperlink" Target="http://www.fesmcugtaragon.es/" TargetMode="External"/><Relationship Id="rId1741" Type="http://schemas.openxmlformats.org/officeDocument/2006/relationships/hyperlink" Target="http://saladinu.blogspot.com/" TargetMode="External"/><Relationship Id="rId1979" Type="http://schemas.openxmlformats.org/officeDocument/2006/relationships/hyperlink" Target="https://delmoraloblog.wordpress.com/" TargetMode="External"/><Relationship Id="rId33" Type="http://schemas.openxmlformats.org/officeDocument/2006/relationships/hyperlink" Target="https://pbs.twimg.com/media/DssXILAXcAArOwh.jpg" TargetMode="External"/><Relationship Id="rId1601" Type="http://schemas.openxmlformats.org/officeDocument/2006/relationships/hyperlink" Target="http://canariasenhora.com/" TargetMode="External"/><Relationship Id="rId1839" Type="http://schemas.openxmlformats.org/officeDocument/2006/relationships/hyperlink" Target="https://www.lavanguardia.com/politica/20181120/453073801172/joan-tarda-albert-rivera-cada-vez-golpistas-llamaremos-fascista.html" TargetMode="External"/><Relationship Id="rId182" Type="http://schemas.openxmlformats.org/officeDocument/2006/relationships/hyperlink" Target="https://youtu.be/BCMKcPH6LK4" TargetMode="External"/><Relationship Id="rId1906" Type="http://schemas.openxmlformats.org/officeDocument/2006/relationships/hyperlink" Target="http://heaquielpuertoparanavegantes.blogspot.com/" TargetMode="External"/><Relationship Id="rId487" Type="http://schemas.openxmlformats.org/officeDocument/2006/relationships/hyperlink" Target="https://www.elmundo.es/espana/2018/11/22/5bf6a067e5fdea356f8b4633.html" TargetMode="External"/><Relationship Id="rId694" Type="http://schemas.openxmlformats.org/officeDocument/2006/relationships/hyperlink" Target="http://pic.twitter.com/zd8lEUL1Iq" TargetMode="External"/><Relationship Id="rId2070" Type="http://schemas.openxmlformats.org/officeDocument/2006/relationships/hyperlink" Target="https://pbs.twimg.com/media/DseE6RBWkAAAeTZ.jpg" TargetMode="External"/><Relationship Id="rId2168" Type="http://schemas.openxmlformats.org/officeDocument/2006/relationships/hyperlink" Target="https://www.lavanguardia.com/politica/20181120/453073801172/joan-tarda-albert-rivera-cada-vez-golpistas-llamaremos-fascista.html?utm_source=twitter_lv&amp;utm_medium=social" TargetMode="External"/><Relationship Id="rId2375" Type="http://schemas.openxmlformats.org/officeDocument/2006/relationships/hyperlink" Target="http://www.bitmomentum.com/" TargetMode="External"/><Relationship Id="rId347" Type="http://schemas.openxmlformats.org/officeDocument/2006/relationships/hyperlink" Target="https://pbs.twimg.com/media/DsobCslVsAAPSx_.jpg" TargetMode="External"/><Relationship Id="rId999" Type="http://schemas.openxmlformats.org/officeDocument/2006/relationships/hyperlink" Target="http://www.multiforo.eu/" TargetMode="External"/><Relationship Id="rId1184" Type="http://schemas.openxmlformats.org/officeDocument/2006/relationships/hyperlink" Target="https://projecto2019vendre.wixsite.com/tatarlak" TargetMode="External"/><Relationship Id="rId2028" Type="http://schemas.openxmlformats.org/officeDocument/2006/relationships/hyperlink" Target="https://pbs.twimg.com/media/DrAEiU1X4AA2_RC.jpg" TargetMode="External"/><Relationship Id="rId2582" Type="http://schemas.openxmlformats.org/officeDocument/2006/relationships/hyperlink" Target="http://pic.twitter.com/xGiZ6OpCHr" TargetMode="External"/><Relationship Id="rId554" Type="http://schemas.openxmlformats.org/officeDocument/2006/relationships/hyperlink" Target="http://castillalamancha.ciudadanos-cs.org/" TargetMode="External"/><Relationship Id="rId761" Type="http://schemas.openxmlformats.org/officeDocument/2006/relationships/hyperlink" Target="https://www.youtube.com/watch?v=HylzVK0Y0Lo&amp;feature=youtu.be&amp;app=desktop" TargetMode="External"/><Relationship Id="rId859" Type="http://schemas.openxmlformats.org/officeDocument/2006/relationships/hyperlink" Target="https://twitter.com/Albert_Rivera/status/1065514851747930112" TargetMode="External"/><Relationship Id="rId1391" Type="http://schemas.openxmlformats.org/officeDocument/2006/relationships/hyperlink" Target="https://twitter.com/Albert_Rivera/status/1065230411448688640" TargetMode="External"/><Relationship Id="rId1489" Type="http://schemas.openxmlformats.org/officeDocument/2006/relationships/hyperlink" Target="https://twitter.com/albeeert_5/status/1065187420315021313" TargetMode="External"/><Relationship Id="rId1696" Type="http://schemas.openxmlformats.org/officeDocument/2006/relationships/hyperlink" Target="https://pbs.twimg.com/media/DsgwGuqU8AEeA9d.jpg" TargetMode="External"/><Relationship Id="rId2235" Type="http://schemas.openxmlformats.org/officeDocument/2006/relationships/hyperlink" Target="https://www.compostela24horas.com/texto-diario/mostrar/1258552/albert-rivera-afirma-unico-buenoque-puede-hacer-pedro-sanchez-convocar-elecciones" TargetMode="External"/><Relationship Id="rId2442" Type="http://schemas.openxmlformats.org/officeDocument/2006/relationships/hyperlink" Target="https://goo.gl/DMmrNj" TargetMode="External"/><Relationship Id="rId207" Type="http://schemas.openxmlformats.org/officeDocument/2006/relationships/hyperlink" Target="http://www.facebook.com/fernando.jimenez.12720" TargetMode="External"/><Relationship Id="rId414" Type="http://schemas.openxmlformats.org/officeDocument/2006/relationships/hyperlink" Target="https://www.lapandereta.es/albert-rivera-evita-por-todos-los-medios-calificar-a-vox-de-extrema-derecha/?fbclid=IwAR0fkhbHZS6WI2wymk5ijI73dSeQBWrbxgruMQ_xlmn65JIRrZyfjGZ_G0A" TargetMode="External"/><Relationship Id="rId621" Type="http://schemas.openxmlformats.org/officeDocument/2006/relationships/hyperlink" Target="https://www.elperiodico.com/es/politica/20181122/albert-rivera-2017-montar-autobus-no-es-hacer-oposicion-7161584?utm_source=twitter&amp;utm_medium=social" TargetMode="External"/><Relationship Id="rId1044" Type="http://schemas.openxmlformats.org/officeDocument/2006/relationships/hyperlink" Target="https://www.publico.es/tremending/2018/11/21/por-que-albert-rivera-no-se-atreve-a-decir-que-vox-es-extrema-derecha-twitter-analiza-los-motivos/" TargetMode="External"/><Relationship Id="rId1251" Type="http://schemas.openxmlformats.org/officeDocument/2006/relationships/hyperlink" Target="http://www.banquilleros.com/" TargetMode="External"/><Relationship Id="rId1349" Type="http://schemas.openxmlformats.org/officeDocument/2006/relationships/hyperlink" Target="https://pbs.twimg.com/media/DshoMk6W0AoLGWr.jpg" TargetMode="External"/><Relationship Id="rId2302" Type="http://schemas.openxmlformats.org/officeDocument/2006/relationships/hyperlink" Target="https://www.facebook.com/Ciudadanos-Pontevedra-578630848932933/timeline/" TargetMode="External"/><Relationship Id="rId2747" Type="http://schemas.openxmlformats.org/officeDocument/2006/relationships/hyperlink" Target="http://bit.ly/2gpsySt" TargetMode="External"/><Relationship Id="rId719" Type="http://schemas.openxmlformats.org/officeDocument/2006/relationships/hyperlink" Target="https://www.servimedia.es/noticias/1094132" TargetMode="External"/><Relationship Id="rId926" Type="http://schemas.openxmlformats.org/officeDocument/2006/relationships/hyperlink" Target="https://www.publico.es/tremending/2018/11/21/por-que-albert-rivera-no-se-atreve-a-decir-que-vox-es-extrema-derecha-twitter-analiza-los-motivos/?utm_source=twitter&amp;utm_medium=social&amp;utm_campaign=publico" TargetMode="External"/><Relationship Id="rId1111" Type="http://schemas.openxmlformats.org/officeDocument/2006/relationships/hyperlink" Target="http://www.atlas-news.com/agencia-internet/politica/Madrid-Senado-spam-politico-partidos-propaganda-electoral-WhatsApp-redes_sociales-correo_electronico_3_1509479077.html" TargetMode="External"/><Relationship Id="rId1556" Type="http://schemas.openxmlformats.org/officeDocument/2006/relationships/hyperlink" Target="https://pbs.twimg.com/media/DsgwGuqU8AEeA9d.jpg" TargetMode="External"/><Relationship Id="rId1763" Type="http://schemas.openxmlformats.org/officeDocument/2006/relationships/hyperlink" Target="http://play.cadenaser.com/" TargetMode="External"/><Relationship Id="rId1970" Type="http://schemas.openxmlformats.org/officeDocument/2006/relationships/hyperlink" Target="https://twitter.com/Albert_Rivera/status/1064968720790011905" TargetMode="External"/><Relationship Id="rId2607" Type="http://schemas.openxmlformats.org/officeDocument/2006/relationships/hyperlink" Target="http://www.eldigitalcastillalamancha.es/" TargetMode="External"/><Relationship Id="rId55" Type="http://schemas.openxmlformats.org/officeDocument/2006/relationships/hyperlink" Target="http://www.ciudadanos-cs.org/" TargetMode="External"/><Relationship Id="rId1209" Type="http://schemas.openxmlformats.org/officeDocument/2006/relationships/hyperlink" Target="http://www.antena3.com/noticias/" TargetMode="External"/><Relationship Id="rId1416" Type="http://schemas.openxmlformats.org/officeDocument/2006/relationships/hyperlink" Target="http://blogs.formulatv.com/elojoen169/" TargetMode="External"/><Relationship Id="rId1623" Type="http://schemas.openxmlformats.org/officeDocument/2006/relationships/hyperlink" Target="https://jotapov.com/2018/11/21/albert-rivera-evita-calificar-a-vox-como-ultraderecha-no-soy-un-analista-politico/" TargetMode="External"/><Relationship Id="rId1830" Type="http://schemas.openxmlformats.org/officeDocument/2006/relationships/hyperlink" Target="https://www.facebook.com/ARRIELO" TargetMode="External"/><Relationship Id="rId1928" Type="http://schemas.openxmlformats.org/officeDocument/2006/relationships/hyperlink" Target="https://youtu.be/D62g8svIjSc" TargetMode="External"/><Relationship Id="rId2092" Type="http://schemas.openxmlformats.org/officeDocument/2006/relationships/hyperlink" Target="https://www.ciudadanos-cs.org/" TargetMode="External"/><Relationship Id="rId271" Type="http://schemas.openxmlformats.org/officeDocument/2006/relationships/hyperlink" Target="https://pbs.twimg.com/media/Dso8S_-U8AAGMGI.jpg" TargetMode="External"/><Relationship Id="rId2397" Type="http://schemas.openxmlformats.org/officeDocument/2006/relationships/hyperlink" Target="http://www.ciudadanos-cs.org/" TargetMode="External"/><Relationship Id="rId131" Type="http://schemas.openxmlformats.org/officeDocument/2006/relationships/hyperlink" Target="https://www.elperiodicodearagon.com/noticias/opinion/encuesta-filosofal_1325634.html" TargetMode="External"/><Relationship Id="rId369" Type="http://schemas.openxmlformats.org/officeDocument/2006/relationships/hyperlink" Target="https://m.facebook.com/eurocops" TargetMode="External"/><Relationship Id="rId576" Type="http://schemas.openxmlformats.org/officeDocument/2006/relationships/hyperlink" Target="https://www.elmundo.es/espana/2018/11/22/5bf6a067e5fdea356f8b4633.html" TargetMode="External"/><Relationship Id="rId783" Type="http://schemas.openxmlformats.org/officeDocument/2006/relationships/hyperlink" Target="https://pbs.twimg.com/media/DsmgG0lX4AE2E2m.jpg" TargetMode="External"/><Relationship Id="rId990" Type="http://schemas.openxmlformats.org/officeDocument/2006/relationships/hyperlink" Target="https://www.elplural.com/politica/albert-rivera-copia-modelo-bus-propagandista-que-critico-a-podemos_206760102" TargetMode="External"/><Relationship Id="rId2257" Type="http://schemas.openxmlformats.org/officeDocument/2006/relationships/hyperlink" Target="http://pic.twitter.com/dPsZufBwDE" TargetMode="External"/><Relationship Id="rId2464" Type="http://schemas.openxmlformats.org/officeDocument/2006/relationships/hyperlink" Target="http://pic.twitter.com/oMocOr8ULO" TargetMode="External"/><Relationship Id="rId2671" Type="http://schemas.openxmlformats.org/officeDocument/2006/relationships/hyperlink" Target="http://favstar.fm/users/zeliyo" TargetMode="External"/><Relationship Id="rId229" Type="http://schemas.openxmlformats.org/officeDocument/2006/relationships/hyperlink" Target="http://politiquetaizquierdista.com/" TargetMode="External"/><Relationship Id="rId436" Type="http://schemas.openxmlformats.org/officeDocument/2006/relationships/hyperlink" Target="https://www.lavanguardia.com/politica/20181122/453092011111/rivera-golpistas-describir-insultar.html?utm_campaign=botones_sociales_app" TargetMode="External"/><Relationship Id="rId643" Type="http://schemas.openxmlformats.org/officeDocument/2006/relationships/hyperlink" Target="http://www.instagram.com/kidwithguns" TargetMode="External"/><Relationship Id="rId1066" Type="http://schemas.openxmlformats.org/officeDocument/2006/relationships/hyperlink" Target="http://www.diario16.com/" TargetMode="External"/><Relationship Id="rId1273" Type="http://schemas.openxmlformats.org/officeDocument/2006/relationships/hyperlink" Target="http://amruizg.blogspot.com/" TargetMode="External"/><Relationship Id="rId1480" Type="http://schemas.openxmlformats.org/officeDocument/2006/relationships/hyperlink" Target="https://pbs.twimg.com/media/DshqkGlWwAAbc0g.jpg" TargetMode="External"/><Relationship Id="rId1939" Type="http://schemas.openxmlformats.org/officeDocument/2006/relationships/hyperlink" Target="http://pic.twitter.com/dtU4Or36oG" TargetMode="External"/><Relationship Id="rId2117" Type="http://schemas.openxmlformats.org/officeDocument/2006/relationships/hyperlink" Target="https://youtu.be/D62g8svIjSc" TargetMode="External"/><Relationship Id="rId2324" Type="http://schemas.openxmlformats.org/officeDocument/2006/relationships/hyperlink" Target="https://www.elespanol.com/espana/politica/20181120/ciudadanos-saca-tramabus-sanchez-indultos-no-elecciones/354715424_0.html" TargetMode="External"/><Relationship Id="rId2769" Type="http://schemas.openxmlformats.org/officeDocument/2006/relationships/hyperlink" Target="http://www.jorgenavasalejo.com/" TargetMode="External"/><Relationship Id="rId850" Type="http://schemas.openxmlformats.org/officeDocument/2006/relationships/hyperlink" Target="http://pic.twitter.com/FPNYflUMgp" TargetMode="External"/><Relationship Id="rId948" Type="http://schemas.openxmlformats.org/officeDocument/2006/relationships/hyperlink" Target="http://pic.twitter.com/IzUM3vmLJt" TargetMode="External"/><Relationship Id="rId1133" Type="http://schemas.openxmlformats.org/officeDocument/2006/relationships/hyperlink" Target="https://pbs.twimg.com/media/DsjFTCJWkAAGRYC.jpg" TargetMode="External"/><Relationship Id="rId1578" Type="http://schemas.openxmlformats.org/officeDocument/2006/relationships/hyperlink" Target="https://www.ciudadanos-cs.org/prensa/rivera-a-sanchez-no-le-importan-los-autonomos-ni-el-irpf-si-no-formar-una-mayoria-politica-a-cambio-de-indultos/11088" TargetMode="External"/><Relationship Id="rId1701" Type="http://schemas.openxmlformats.org/officeDocument/2006/relationships/hyperlink" Target="https://twitter.com/Cazatalentos/status/1064955062957600768" TargetMode="External"/><Relationship Id="rId1785" Type="http://schemas.openxmlformats.org/officeDocument/2006/relationships/hyperlink" Target="https://pbs.twimg.com/media/DsgfdjUWwAcmJwf.jpg" TargetMode="External"/><Relationship Id="rId1992" Type="http://schemas.openxmlformats.org/officeDocument/2006/relationships/hyperlink" Target="https://instagram.com/ratonzitaspain/" TargetMode="External"/><Relationship Id="rId2531" Type="http://schemas.openxmlformats.org/officeDocument/2006/relationships/hyperlink" Target="http://www.bitmomentum.com/" TargetMode="External"/><Relationship Id="rId2629" Type="http://schemas.openxmlformats.org/officeDocument/2006/relationships/hyperlink" Target="http://pic.twitter.com/Re7ZbZEuuj" TargetMode="External"/><Relationship Id="rId77" Type="http://schemas.openxmlformats.org/officeDocument/2006/relationships/hyperlink" Target="http://pic.twitter.com/xpz9H7s1qO" TargetMode="External"/><Relationship Id="rId282" Type="http://schemas.openxmlformats.org/officeDocument/2006/relationships/hyperlink" Target="https://www.google.es/amp/s/amp.elmundo.es/espana/2018/11/22/5bf6a067e5fdea356f8b4633.html" TargetMode="External"/><Relationship Id="rId503" Type="http://schemas.openxmlformats.org/officeDocument/2006/relationships/hyperlink" Target="http://www.ciudadanos-cs.org/" TargetMode="External"/><Relationship Id="rId587" Type="http://schemas.openxmlformats.org/officeDocument/2006/relationships/hyperlink" Target="https://twitter.com/Albert_Rivera/status/1065580497613537281" TargetMode="External"/><Relationship Id="rId710" Type="http://schemas.openxmlformats.org/officeDocument/2006/relationships/hyperlink" Target="http://www.elmundo.es/espana.html" TargetMode="External"/><Relationship Id="rId808" Type="http://schemas.openxmlformats.org/officeDocument/2006/relationships/hyperlink" Target="https://www.publico.es/tremending/2018/11/21/por-que-albert-rivera-no-se-atreve-a-decir-que-vox-es-extrema-derecha-twitter-analiza-los-motivos/?utm_source=twitter&amp;utm_medium=social&amp;utm_campaign=tremending" TargetMode="External"/><Relationship Id="rId1340" Type="http://schemas.openxmlformats.org/officeDocument/2006/relationships/hyperlink" Target="https://pbs.twimg.com/media/Dsh4_XYWkAEmPTa.jpg" TargetMode="External"/><Relationship Id="rId1438" Type="http://schemas.openxmlformats.org/officeDocument/2006/relationships/hyperlink" Target="https://www.elplural.com/politica/albert-rivera-copia-modelo-bus-propagandista-que-critico-a-podemos_206760102" TargetMode="External"/><Relationship Id="rId1645" Type="http://schemas.openxmlformats.org/officeDocument/2006/relationships/hyperlink" Target="http://www.lacerca.com/" TargetMode="External"/><Relationship Id="rId2170" Type="http://schemas.openxmlformats.org/officeDocument/2006/relationships/hyperlink" Target="http://elpobrecitohabladordelsigloxxi.blogspot.com/" TargetMode="External"/><Relationship Id="rId2268" Type="http://schemas.openxmlformats.org/officeDocument/2006/relationships/hyperlink" Target="https://www.instagram.com/crisnpatience/" TargetMode="External"/><Relationship Id="rId8" Type="http://schemas.openxmlformats.org/officeDocument/2006/relationships/hyperlink" Target="https://pbs.twimg.com/media/Dssi_ETXgAAfbWz.jpg" TargetMode="External"/><Relationship Id="rId142" Type="http://schemas.openxmlformats.org/officeDocument/2006/relationships/hyperlink" Target="http://www.youtube.com/sila661" TargetMode="External"/><Relationship Id="rId447" Type="http://schemas.openxmlformats.org/officeDocument/2006/relationships/hyperlink" Target="https://youtu.be/KWmD_HcOcfU" TargetMode="External"/><Relationship Id="rId794" Type="http://schemas.openxmlformats.org/officeDocument/2006/relationships/hyperlink" Target="https://elpais.com/elpais/2018/11/21/opinion/1542806031_921444.amp.html?__twitter_impression=true" TargetMode="External"/><Relationship Id="rId1077" Type="http://schemas.openxmlformats.org/officeDocument/2006/relationships/hyperlink" Target="https://www.larazon.es/local/andalucia/rivera-solo-apoyara-un-gobierno-que-presida-cs-NB20563925" TargetMode="External"/><Relationship Id="rId1200" Type="http://schemas.openxmlformats.org/officeDocument/2006/relationships/hyperlink" Target="https://www.publico.es/tremending/2018/11/21/por-que-albert-rivera-no-se-atreve-a-decir-que-vox-es-extrema-derecha-twitter-analiza-los-motivos/?utm_source=twitter&amp;utm_medium=social&amp;utm_campaign=tremending" TargetMode="External"/><Relationship Id="rId1852" Type="http://schemas.openxmlformats.org/officeDocument/2006/relationships/hyperlink" Target="http://pic.twitter.com/VlBe54UXGK" TargetMode="External"/><Relationship Id="rId2030" Type="http://schemas.openxmlformats.org/officeDocument/2006/relationships/hyperlink" Target="http://cadiz.ciudadanos-cs.org/" TargetMode="External"/><Relationship Id="rId2128" Type="http://schemas.openxmlformats.org/officeDocument/2006/relationships/hyperlink" Target="http://bit.ly/2FAA24b" TargetMode="External"/><Relationship Id="rId2475" Type="http://schemas.openxmlformats.org/officeDocument/2006/relationships/hyperlink" Target="https://www.elmundo.es/cataluna/2018/11/20/5bf30ac5468aeb7a7e8b4607.html" TargetMode="External"/><Relationship Id="rId2682" Type="http://schemas.openxmlformats.org/officeDocument/2006/relationships/hyperlink" Target="http://www.antena3.com/espejopublico" TargetMode="External"/><Relationship Id="rId654" Type="http://schemas.openxmlformats.org/officeDocument/2006/relationships/hyperlink" Target="https://www.elperiodico.com/es/politica/20181122/albert-rivera-2017-montar-autobus-no-es-hacer-oposicion-7161584?utm_source=twitter&amp;utm_medium=social" TargetMode="External"/><Relationship Id="rId861" Type="http://schemas.openxmlformats.org/officeDocument/2006/relationships/hyperlink" Target="https://delmoraloblog.wordpress.com/" TargetMode="External"/><Relationship Id="rId959" Type="http://schemas.openxmlformats.org/officeDocument/2006/relationships/hyperlink" Target="http://izquierdas.no/" TargetMode="External"/><Relationship Id="rId1284" Type="http://schemas.openxmlformats.org/officeDocument/2006/relationships/hyperlink" Target="https://www.publico.es/tremending/2018/11/21/por-que-albert-rivera-no-se-atreve-a-decir-que-vox-es-extrema-derecha-twitter-analiza-los-motivos/" TargetMode="External"/><Relationship Id="rId1491" Type="http://schemas.openxmlformats.org/officeDocument/2006/relationships/hyperlink" Target="https://gab.ai/MskRobert" TargetMode="External"/><Relationship Id="rId1505" Type="http://schemas.openxmlformats.org/officeDocument/2006/relationships/hyperlink" Target="https://pbs.twimg.com/media/DshlPWLWoAAXv4E.jpg" TargetMode="External"/><Relationship Id="rId1589" Type="http://schemas.openxmlformats.org/officeDocument/2006/relationships/hyperlink" Target="https://www.facebook.com/carles.riquelmefelip" TargetMode="External"/><Relationship Id="rId1712" Type="http://schemas.openxmlformats.org/officeDocument/2006/relationships/hyperlink" Target="http://spanishpolice.github.io/" TargetMode="External"/><Relationship Id="rId2335" Type="http://schemas.openxmlformats.org/officeDocument/2006/relationships/hyperlink" Target="https://pbs.twimg.com/media/DsdkZXAXgAATrf-.jpg" TargetMode="External"/><Relationship Id="rId2542" Type="http://schemas.openxmlformats.org/officeDocument/2006/relationships/hyperlink" Target="https://pbs.twimg.com/media/DscZGVMXcAAU4Ue.jpg" TargetMode="External"/><Relationship Id="rId293" Type="http://schemas.openxmlformats.org/officeDocument/2006/relationships/hyperlink" Target="https://pbs.twimg.com/media/Dso1quJXcAA7AY1.jpg" TargetMode="External"/><Relationship Id="rId307" Type="http://schemas.openxmlformats.org/officeDocument/2006/relationships/hyperlink" Target="https://pbs.twimg.com/media/Dsox9DyWkAUtsLQ.jpg" TargetMode="External"/><Relationship Id="rId514" Type="http://schemas.openxmlformats.org/officeDocument/2006/relationships/hyperlink" Target="https://www.elmundo.es/espana/2018/11/22/5bf6a067e5fdea356f8b4633.html" TargetMode="External"/><Relationship Id="rId721" Type="http://schemas.openxmlformats.org/officeDocument/2006/relationships/hyperlink" Target="https://www.elperiodico.com/es/politica/20181122/albert-rivera-2017-montar-autobus-no-es-hacer-oposicion-7161584?utm_source=twitter&amp;utm_medium=social" TargetMode="External"/><Relationship Id="rId1144" Type="http://schemas.openxmlformats.org/officeDocument/2006/relationships/hyperlink" Target="https://pbs.twimg.com/media/DshbLfYWkAA9iZ5.jpg" TargetMode="External"/><Relationship Id="rId1351" Type="http://schemas.openxmlformats.org/officeDocument/2006/relationships/hyperlink" Target="http://fsa-psoe.org/" TargetMode="External"/><Relationship Id="rId1449" Type="http://schemas.openxmlformats.org/officeDocument/2006/relationships/hyperlink" Target="https://www.elnacional.cat/enblau/es/television/albert-rivera-vox-pepa-bueno-cadena-ser_326946_102.html" TargetMode="External"/><Relationship Id="rId1796" Type="http://schemas.openxmlformats.org/officeDocument/2006/relationships/hyperlink" Target="https://www.eljueves.es/news/albert-rivera-se-pasa-flamenco-para-conseguirse-unos-grammys-2_2958?utm_source=facebook&amp;utm_medium=social&amp;utm_campaign=trafico" TargetMode="External"/><Relationship Id="rId2181" Type="http://schemas.openxmlformats.org/officeDocument/2006/relationships/hyperlink" Target="https://www.elconfidencial.com/espana/madrid/2018-11-20/debate-indultos-golpistas-rivera-fascista-tarda-congreso_1658598/?utm_campaign=BotoneraWebapp&amp;utm_source=twitter&amp;utm_medium=social" TargetMode="External"/><Relationship Id="rId2402" Type="http://schemas.openxmlformats.org/officeDocument/2006/relationships/hyperlink" Target="https://www.ciudadanos-cs.org/prensa/rivera-lo-unico-bueno-que-sanchez-puede-hacer-en-lo-que-queda-de-legislatura-es-el-decreto-de-convocatoria-de-elecciones/11083" TargetMode="External"/><Relationship Id="rId88" Type="http://schemas.openxmlformats.org/officeDocument/2006/relationships/hyperlink" Target="https://youtu.be/pFDpe1Rvj-E" TargetMode="External"/><Relationship Id="rId153" Type="http://schemas.openxmlformats.org/officeDocument/2006/relationships/hyperlink" Target="https://www.youtube.com/watch?v=POr9DzqY9RI" TargetMode="External"/><Relationship Id="rId360" Type="http://schemas.openxmlformats.org/officeDocument/2006/relationships/hyperlink" Target="https://www.ciudadanos-cs.org/" TargetMode="External"/><Relationship Id="rId598" Type="http://schemas.openxmlformats.org/officeDocument/2006/relationships/hyperlink" Target="https://pbs.twimg.com/media/DsnLaVkWoAAplst.jpg" TargetMode="External"/><Relationship Id="rId819" Type="http://schemas.openxmlformats.org/officeDocument/2006/relationships/hyperlink" Target="http://pic.twitter.com/CQPTeuMzVI" TargetMode="External"/><Relationship Id="rId1004" Type="http://schemas.openxmlformats.org/officeDocument/2006/relationships/hyperlink" Target="http://www.ondacero.es/programas/la-brujula/" TargetMode="External"/><Relationship Id="rId1211" Type="http://schemas.openxmlformats.org/officeDocument/2006/relationships/hyperlink" Target="http://pic.twitter.com/6kZHNAdNJ7" TargetMode="External"/><Relationship Id="rId1656" Type="http://schemas.openxmlformats.org/officeDocument/2006/relationships/hyperlink" Target="https://www.elnacional.cat/ca/televisio/susanna-griso-albert-rivera-luis-alfonso-borbon_326550_102.html" TargetMode="External"/><Relationship Id="rId1863" Type="http://schemas.openxmlformats.org/officeDocument/2006/relationships/hyperlink" Target="http://www.huffingtonpost.es/" TargetMode="External"/><Relationship Id="rId2041" Type="http://schemas.openxmlformats.org/officeDocument/2006/relationships/hyperlink" Target="http://canariasenhora.com/" TargetMode="External"/><Relationship Id="rId2279" Type="http://schemas.openxmlformats.org/officeDocument/2006/relationships/hyperlink" Target="http://www.ciudadanos-cs.org/" TargetMode="External"/><Relationship Id="rId2486" Type="http://schemas.openxmlformats.org/officeDocument/2006/relationships/hyperlink" Target="https://pbs.twimg.com/media/DscNisKWwAAtAby.jpg" TargetMode="External"/><Relationship Id="rId2693" Type="http://schemas.openxmlformats.org/officeDocument/2006/relationships/hyperlink" Target="https://www.elmundo.es/espana/2018/11/20/5bf3b05b468aeb79228b45eb.html" TargetMode="External"/><Relationship Id="rId2707" Type="http://schemas.openxmlformats.org/officeDocument/2006/relationships/hyperlink" Target="https://www.atresplayer.com/directos/antena3/" TargetMode="External"/><Relationship Id="rId220" Type="http://schemas.openxmlformats.org/officeDocument/2006/relationships/hyperlink" Target="https://www.lavanguardia.com/politica/20181122/453091407207/albert-rivera-acusa-psoe-minimizar-independentistas-escupen-espana.html" TargetMode="External"/><Relationship Id="rId458" Type="http://schemas.openxmlformats.org/officeDocument/2006/relationships/hyperlink" Target="http://www.elmundo.es/espana/2018/11/22/5bf6a067e5fdea356f8b4633.html" TargetMode="External"/><Relationship Id="rId665" Type="http://schemas.openxmlformats.org/officeDocument/2006/relationships/hyperlink" Target="http://shr.gs/UQ5jQbP" TargetMode="External"/><Relationship Id="rId872" Type="http://schemas.openxmlformats.org/officeDocument/2006/relationships/hyperlink" Target="http://www.ciudadanos-cs.org/" TargetMode="External"/><Relationship Id="rId1088" Type="http://schemas.openxmlformats.org/officeDocument/2006/relationships/hyperlink" Target="https://www.shitpostbot.com/" TargetMode="External"/><Relationship Id="rId1295" Type="http://schemas.openxmlformats.org/officeDocument/2006/relationships/hyperlink" Target="https://twitter.com/AnimalesL0VE/status/1065263351373139968" TargetMode="External"/><Relationship Id="rId1309" Type="http://schemas.openxmlformats.org/officeDocument/2006/relationships/hyperlink" Target="https://www.publico.es/tremending/2018/11/21/por-que-albert-rivera-no-se-atreve-a-decir-que-vox-es-extrema-derecha-twitter-analiza-los-motivos/" TargetMode="External"/><Relationship Id="rId1516" Type="http://schemas.openxmlformats.org/officeDocument/2006/relationships/hyperlink" Target="https://twitter.com/ESPCiudadana/status/1064830598945091585" TargetMode="External"/><Relationship Id="rId1723" Type="http://schemas.openxmlformats.org/officeDocument/2006/relationships/hyperlink" Target="http://www.bitmomentum.com/" TargetMode="External"/><Relationship Id="rId1930" Type="http://schemas.openxmlformats.org/officeDocument/2006/relationships/hyperlink" Target="https://www.ciudadanos-cs.org/prensa/rivera-sanchez-iglesias-y-junqueras-cambian-indultos-por-escanos-y-eso-es-inmoral/11085" TargetMode="External"/><Relationship Id="rId2139" Type="http://schemas.openxmlformats.org/officeDocument/2006/relationships/hyperlink" Target="http://ayuntamiento-valencia.ciudadanos-cs.org/" TargetMode="External"/><Relationship Id="rId2346" Type="http://schemas.openxmlformats.org/officeDocument/2006/relationships/hyperlink" Target="https://pbs.twimg.com/media/DsdjcWtW0AA5-Yd.jpg" TargetMode="External"/><Relationship Id="rId2553" Type="http://schemas.openxmlformats.org/officeDocument/2006/relationships/hyperlink" Target="https://pbs.twimg.com/media/DscNisKWwAAtAby.jpg" TargetMode="External"/><Relationship Id="rId2760" Type="http://schemas.openxmlformats.org/officeDocument/2006/relationships/hyperlink" Target="https://pbs.twimg.com/media/DsZrEHyWoAIToxr.jpg" TargetMode="External"/><Relationship Id="rId15" Type="http://schemas.openxmlformats.org/officeDocument/2006/relationships/hyperlink" Target="http://paypal.me/lexufistro" TargetMode="External"/><Relationship Id="rId318" Type="http://schemas.openxmlformats.org/officeDocument/2006/relationships/hyperlink" Target="https://pbs.twimg.com/media/DsouEbgU0AAgaTW.jpg" TargetMode="External"/><Relationship Id="rId525" Type="http://schemas.openxmlformats.org/officeDocument/2006/relationships/hyperlink" Target="https://www.psicomemorias.com/concurso-bisexualidad-siempre-invisibles/" TargetMode="External"/><Relationship Id="rId732" Type="http://schemas.openxmlformats.org/officeDocument/2006/relationships/hyperlink" Target="http://castillalamancha.ciudadanos-cs.org/" TargetMode="External"/><Relationship Id="rId1155" Type="http://schemas.openxmlformats.org/officeDocument/2006/relationships/hyperlink" Target="https://pbs.twimg.com/media/Dsi6qxGWkAM8_W6.jpg" TargetMode="External"/><Relationship Id="rId1362" Type="http://schemas.openxmlformats.org/officeDocument/2006/relationships/hyperlink" Target="https://elpais.com/politica/2018/11/21/actualidad/1542795112_974513.html?id_externo_rsoc=TW_CC" TargetMode="External"/><Relationship Id="rId2192" Type="http://schemas.openxmlformats.org/officeDocument/2006/relationships/hyperlink" Target="http://www.lasexta.com/noticias/" TargetMode="External"/><Relationship Id="rId2206" Type="http://schemas.openxmlformats.org/officeDocument/2006/relationships/hyperlink" Target="http://pic.twitter.com/cykhgVGqVg" TargetMode="External"/><Relationship Id="rId2413" Type="http://schemas.openxmlformats.org/officeDocument/2006/relationships/hyperlink" Target="https://pbs.twimg.com/media/DsdAKcNWwAAaYAz.png" TargetMode="External"/><Relationship Id="rId2620" Type="http://schemas.openxmlformats.org/officeDocument/2006/relationships/hyperlink" Target="https://www.lavanguardia.com/economia/20151125/30383050692/banca-viviendas-vacias-espana.html" TargetMode="External"/><Relationship Id="rId99" Type="http://schemas.openxmlformats.org/officeDocument/2006/relationships/hyperlink" Target="http://somosecd.com/p4upl4" TargetMode="External"/><Relationship Id="rId164" Type="http://schemas.openxmlformats.org/officeDocument/2006/relationships/hyperlink" Target="http://www.youtube.com/sila661" TargetMode="External"/><Relationship Id="rId371" Type="http://schemas.openxmlformats.org/officeDocument/2006/relationships/hyperlink" Target="https://www.elmundo.es/espana/2018/11/22/5bf6a067e5fdea356f8b4633.html" TargetMode="External"/><Relationship Id="rId1015" Type="http://schemas.openxmlformats.org/officeDocument/2006/relationships/hyperlink" Target="http://www.bitmomentum.com/" TargetMode="External"/><Relationship Id="rId1222" Type="http://schemas.openxmlformats.org/officeDocument/2006/relationships/hyperlink" Target="http://www.ajv-val.org/" TargetMode="External"/><Relationship Id="rId1667" Type="http://schemas.openxmlformats.org/officeDocument/2006/relationships/hyperlink" Target="https://pbs.twimg.com/media/Dsg-GoQXcAAV0qc.jpg" TargetMode="External"/><Relationship Id="rId1874" Type="http://schemas.openxmlformats.org/officeDocument/2006/relationships/hyperlink" Target="http://www.huffingtonpost.es/" TargetMode="External"/><Relationship Id="rId2052" Type="http://schemas.openxmlformats.org/officeDocument/2006/relationships/hyperlink" Target="http://tabarnia.es/" TargetMode="External"/><Relationship Id="rId2497" Type="http://schemas.openxmlformats.org/officeDocument/2006/relationships/hyperlink" Target="http://elcuadernodeunizquierdista.blogspot.com/" TargetMode="External"/><Relationship Id="rId2718" Type="http://schemas.openxmlformats.org/officeDocument/2006/relationships/hyperlink" Target="https://johnmuller.wordpress.com/author/cultrun/" TargetMode="External"/><Relationship Id="rId469" Type="http://schemas.openxmlformats.org/officeDocument/2006/relationships/hyperlink" Target="http://pic.twitter.com/EzmTWygIlZ" TargetMode="External"/><Relationship Id="rId676" Type="http://schemas.openxmlformats.org/officeDocument/2006/relationships/hyperlink" Target="https://www.asivaespana.com/politica/joan-tarda-llama-fascista-y-se-lo-seguira-llamando-de-ahora-en-adelante-a-albert-rivera-en-el-congreso" TargetMode="External"/><Relationship Id="rId883" Type="http://schemas.openxmlformats.org/officeDocument/2006/relationships/hyperlink" Target="http://www.rtve.es/directo/la-1" TargetMode="External"/><Relationship Id="rId1099" Type="http://schemas.openxmlformats.org/officeDocument/2006/relationships/hyperlink" Target="https://www.elplural.com/politica/albert-rivera-extrema-derecha-vox-respuesta-entrevista_206736102" TargetMode="External"/><Relationship Id="rId1527" Type="http://schemas.openxmlformats.org/officeDocument/2006/relationships/hyperlink" Target="http://shr.gs/w6dyxil" TargetMode="External"/><Relationship Id="rId1734" Type="http://schemas.openxmlformats.org/officeDocument/2006/relationships/hyperlink" Target="https://www.instagram.com/marcespin/" TargetMode="External"/><Relationship Id="rId1941" Type="http://schemas.openxmlformats.org/officeDocument/2006/relationships/hyperlink" Target="https://www.huffingtonpost.es/2018/11/20/la-respuesta-de-atresmedia-a-albert-rivera-por-lo-que-ha-dicho-sobre-la-casa-de-papel_a_23594976/" TargetMode="External"/><Relationship Id="rId2357" Type="http://schemas.openxmlformats.org/officeDocument/2006/relationships/hyperlink" Target="http://pic.twitter.com/ilZpkXE8pV" TargetMode="External"/><Relationship Id="rId2564" Type="http://schemas.openxmlformats.org/officeDocument/2006/relationships/hyperlink" Target="http://www.lacerca.com/" TargetMode="External"/><Relationship Id="rId26" Type="http://schemas.openxmlformats.org/officeDocument/2006/relationships/hyperlink" Target="https://pbs.twimg.com/media/DssaruFX4AEzCPw.jpg" TargetMode="External"/><Relationship Id="rId231" Type="http://schemas.openxmlformats.org/officeDocument/2006/relationships/hyperlink" Target="https://youtu.be/Vn5QOJG3_SM" TargetMode="External"/><Relationship Id="rId329" Type="http://schemas.openxmlformats.org/officeDocument/2006/relationships/hyperlink" Target="https://www.publico.es/politica/albert-rivera-farfulla-capullo-y.html" TargetMode="External"/><Relationship Id="rId536" Type="http://schemas.openxmlformats.org/officeDocument/2006/relationships/hyperlink" Target="https://www.elmundo.es/espana/2018/11/22/5bf6a067e5fdea356f8b4633.html" TargetMode="External"/><Relationship Id="rId1166" Type="http://schemas.openxmlformats.org/officeDocument/2006/relationships/hyperlink" Target="https://pbs.twimg.com/media/Dsh4V7mW0AAD0MV.jpg" TargetMode="External"/><Relationship Id="rId1373" Type="http://schemas.openxmlformats.org/officeDocument/2006/relationships/hyperlink" Target="https://instagram.com/romangsergio" TargetMode="External"/><Relationship Id="rId2217" Type="http://schemas.openxmlformats.org/officeDocument/2006/relationships/hyperlink" Target="http://pic.twitter.com/f9xOVe6fZI" TargetMode="External"/><Relationship Id="rId2771" Type="http://schemas.openxmlformats.org/officeDocument/2006/relationships/hyperlink" Target="http://www.huffingtonpost.es/" TargetMode="External"/><Relationship Id="rId175" Type="http://schemas.openxmlformats.org/officeDocument/2006/relationships/hyperlink" Target="https://www.eljueves.es/news/albert-rivera-se-pasa-flamenco-para-conseguirse-unos-grammys-2_2958?utm_source=facebook&amp;utm_medium=social&amp;utm_campaign=trafico&amp;fbclid=IwAR2q-OK0wjNgJjFXbSkoxCaUlIT0ygD4raZREDlV5IGX3NsFeBVwugcFiWM" TargetMode="External"/><Relationship Id="rId743" Type="http://schemas.openxmlformats.org/officeDocument/2006/relationships/hyperlink" Target="http://shr.gs/UQ5jQbP" TargetMode="External"/><Relationship Id="rId950" Type="http://schemas.openxmlformats.org/officeDocument/2006/relationships/hyperlink" Target="http://myreverseblog.wordpress.com/" TargetMode="External"/><Relationship Id="rId1026" Type="http://schemas.openxmlformats.org/officeDocument/2006/relationships/hyperlink" Target="https://twitter.com/rumbopropio/status/1065189996892688384" TargetMode="External"/><Relationship Id="rId1580" Type="http://schemas.openxmlformats.org/officeDocument/2006/relationships/hyperlink" Target="http://roquetasdemar.ciudadanos-cs.org/" TargetMode="External"/><Relationship Id="rId1678" Type="http://schemas.openxmlformats.org/officeDocument/2006/relationships/hyperlink" Target="https://pbs.twimg.com/media/DsgwGuqU8AEeA9d.jpg" TargetMode="External"/><Relationship Id="rId1801" Type="http://schemas.openxmlformats.org/officeDocument/2006/relationships/hyperlink" Target="http://www.bitmomentum.com/" TargetMode="External"/><Relationship Id="rId1885" Type="http://schemas.openxmlformats.org/officeDocument/2006/relationships/hyperlink" Target="http://www.ramblalibre.com/" TargetMode="External"/><Relationship Id="rId2424" Type="http://schemas.openxmlformats.org/officeDocument/2006/relationships/hyperlink" Target="https://www.huffingtonpost.es/2018/11/19/teresa-rodriguez-llama-albert-primo-de-rivera-a-albert-rivera_a_23594091/" TargetMode="External"/><Relationship Id="rId2631" Type="http://schemas.openxmlformats.org/officeDocument/2006/relationships/hyperlink" Target="http://pic.twitter.com/syY7xjNH6m" TargetMode="External"/><Relationship Id="rId2729" Type="http://schemas.openxmlformats.org/officeDocument/2006/relationships/hyperlink" Target="http://www.huffingtonpost.es/" TargetMode="External"/><Relationship Id="rId382" Type="http://schemas.openxmlformats.org/officeDocument/2006/relationships/hyperlink" Target="https://www.elmundo.es/espana/2018/11/22/5bf6a067e5fdea356f8b4633.html" TargetMode="External"/><Relationship Id="rId603" Type="http://schemas.openxmlformats.org/officeDocument/2006/relationships/hyperlink" Target="https://delmoraloblog.wordpress.com/" TargetMode="External"/><Relationship Id="rId687" Type="http://schemas.openxmlformats.org/officeDocument/2006/relationships/hyperlink" Target="http://pic.twitter.com/ybopVvCY3L" TargetMode="External"/><Relationship Id="rId810" Type="http://schemas.openxmlformats.org/officeDocument/2006/relationships/hyperlink" Target="http://edp.cat/" TargetMode="External"/><Relationship Id="rId908" Type="http://schemas.openxmlformats.org/officeDocument/2006/relationships/hyperlink" Target="http://podremos.cat/" TargetMode="External"/><Relationship Id="rId1233" Type="http://schemas.openxmlformats.org/officeDocument/2006/relationships/hyperlink" Target="https://www.elplural.com/politica/albert-rivera-copia-modelo-bus-propagandista-que-critico-a-podemos_206760102" TargetMode="External"/><Relationship Id="rId1440" Type="http://schemas.openxmlformats.org/officeDocument/2006/relationships/hyperlink" Target="http://www.ciudadanos-cs.org/" TargetMode="External"/><Relationship Id="rId1538" Type="http://schemas.openxmlformats.org/officeDocument/2006/relationships/hyperlink" Target="https://www.huffingtonpost.es/2018/11/20/la-respuesta-de-atresmedia-a-albert-rivera-por-lo-que-ha-dicho-sobre-la-casa-de-papel_a_23594976/" TargetMode="External"/><Relationship Id="rId2063" Type="http://schemas.openxmlformats.org/officeDocument/2006/relationships/hyperlink" Target="https://pbs.twimg.com/media/Dsd13jTVYAAsuW9.jpg" TargetMode="External"/><Relationship Id="rId2270" Type="http://schemas.openxmlformats.org/officeDocument/2006/relationships/hyperlink" Target="https://pbs.twimg.com/media/DsduZaMUwAAWXaQ.jpg" TargetMode="External"/><Relationship Id="rId2368" Type="http://schemas.openxmlformats.org/officeDocument/2006/relationships/hyperlink" Target="http://www.eldiario.es/clm/" TargetMode="External"/><Relationship Id="rId242" Type="http://schemas.openxmlformats.org/officeDocument/2006/relationships/hyperlink" Target="http://www.gentedigital.es/comunidad/cosechandomadrid" TargetMode="External"/><Relationship Id="rId894" Type="http://schemas.openxmlformats.org/officeDocument/2006/relationships/hyperlink" Target="https://www.elplural.com/politica/albert-rivera-extrema-derecha-vox-respuesta-entrevista_206736102" TargetMode="External"/><Relationship Id="rId1177" Type="http://schemas.openxmlformats.org/officeDocument/2006/relationships/hyperlink" Target="http://visionrealzale.blogspot.com.es/" TargetMode="External"/><Relationship Id="rId1300" Type="http://schemas.openxmlformats.org/officeDocument/2006/relationships/hyperlink" Target="http://www.lekaconk.com/" TargetMode="External"/><Relationship Id="rId1745" Type="http://schemas.openxmlformats.org/officeDocument/2006/relationships/hyperlink" Target="http://instagram.com/m_a_guisado" TargetMode="External"/><Relationship Id="rId1952" Type="http://schemas.openxmlformats.org/officeDocument/2006/relationships/hyperlink" Target="http://www.bitmomentum.com/" TargetMode="External"/><Relationship Id="rId2130" Type="http://schemas.openxmlformats.org/officeDocument/2006/relationships/hyperlink" Target="http://pic.twitter.com/4aPSK2sV61" TargetMode="External"/><Relationship Id="rId2575" Type="http://schemas.openxmlformats.org/officeDocument/2006/relationships/hyperlink" Target="https://pbs.twimg.com/media/DscKsFDX4AAFCtX.jpg" TargetMode="External"/><Relationship Id="rId2782" Type="http://schemas.openxmlformats.org/officeDocument/2006/relationships/hyperlink" Target="http://sevillaactualidad.com/" TargetMode="External"/><Relationship Id="rId37" Type="http://schemas.openxmlformats.org/officeDocument/2006/relationships/hyperlink" Target="https://twitter.com/cunadometro/status/1065906645413318656" TargetMode="External"/><Relationship Id="rId102" Type="http://schemas.openxmlformats.org/officeDocument/2006/relationships/hyperlink" Target="https://pbs.twimg.com/media/DsrycqjWwAYbaXx.jpg" TargetMode="External"/><Relationship Id="rId547" Type="http://schemas.openxmlformats.org/officeDocument/2006/relationships/hyperlink" Target="http://es.reyentus.es/" TargetMode="External"/><Relationship Id="rId754" Type="http://schemas.openxmlformats.org/officeDocument/2006/relationships/hyperlink" Target="http://pic.twitter.com/a331IEKjSC" TargetMode="External"/><Relationship Id="rId961" Type="http://schemas.openxmlformats.org/officeDocument/2006/relationships/hyperlink" Target="https://lahoradigital.com/movil/noticia/17583/politica/albert-rivera-incapaz-de-definir-a-vox-como-extrema-derecha.html" TargetMode="External"/><Relationship Id="rId1384" Type="http://schemas.openxmlformats.org/officeDocument/2006/relationships/hyperlink" Target="https://elpais.com/elpais/eps.html" TargetMode="External"/><Relationship Id="rId1591" Type="http://schemas.openxmlformats.org/officeDocument/2006/relationships/hyperlink" Target="http://www.ciudadanos-cs.org/" TargetMode="External"/><Relationship Id="rId1605" Type="http://schemas.openxmlformats.org/officeDocument/2006/relationships/hyperlink" Target="https://pbs.twimg.com/media/DshODxBXQAAAy7O.jpg" TargetMode="External"/><Relationship Id="rId1689" Type="http://schemas.openxmlformats.org/officeDocument/2006/relationships/hyperlink" Target="http://www.profesoresenaccion.com/?p=553" TargetMode="External"/><Relationship Id="rId1812" Type="http://schemas.openxmlformats.org/officeDocument/2006/relationships/hyperlink" Target="http://callefutbolera.blogspot.com.es/?m=1" TargetMode="External"/><Relationship Id="rId2228" Type="http://schemas.openxmlformats.org/officeDocument/2006/relationships/hyperlink" Target="https://pbs.twimg.com/media/DsdzSBkXoAAoTw0.jpg" TargetMode="External"/><Relationship Id="rId2435" Type="http://schemas.openxmlformats.org/officeDocument/2006/relationships/hyperlink" Target="https://www.elplural.com/politica/teresa-rodriguez-albert-rivera-primo-albert-primo-de-rivera_206666102" TargetMode="External"/><Relationship Id="rId2642" Type="http://schemas.openxmlformats.org/officeDocument/2006/relationships/hyperlink" Target="https://www.elmundo.es/cataluna/2018/11/20/5bf30ac5468aeb7a7e8b4607.html" TargetMode="External"/><Relationship Id="rId90" Type="http://schemas.openxmlformats.org/officeDocument/2006/relationships/hyperlink" Target="http://pic.twitter.com/zowIwAk9Ea" TargetMode="External"/><Relationship Id="rId186" Type="http://schemas.openxmlformats.org/officeDocument/2006/relationships/hyperlink" Target="http://www.linkedin.com/in/frubira" TargetMode="External"/><Relationship Id="rId393" Type="http://schemas.openxmlformats.org/officeDocument/2006/relationships/hyperlink" Target="https://twitter.com/PSOE/status/1065580657211047942" TargetMode="External"/><Relationship Id="rId407" Type="http://schemas.openxmlformats.org/officeDocument/2006/relationships/hyperlink" Target="https://www.elmundo.es/espana/2018/11/22/5bf6a067e5fdea356f8b4633.html" TargetMode="External"/><Relationship Id="rId614" Type="http://schemas.openxmlformats.org/officeDocument/2006/relationships/hyperlink" Target="http://tremending.publico.es/" TargetMode="External"/><Relationship Id="rId821" Type="http://schemas.openxmlformats.org/officeDocument/2006/relationships/hyperlink" Target="http://pic.twitter.com/7WciP1Ufsq" TargetMode="External"/><Relationship Id="rId1037" Type="http://schemas.openxmlformats.org/officeDocument/2006/relationships/hyperlink" Target="http://edp.cat/" TargetMode="External"/><Relationship Id="rId1244" Type="http://schemas.openxmlformats.org/officeDocument/2006/relationships/hyperlink" Target="http://castillalamancha.ciudadanos-cs.org/" TargetMode="External"/><Relationship Id="rId1451" Type="http://schemas.openxmlformats.org/officeDocument/2006/relationships/hyperlink" Target="http://historiaignoradadelahumanidad.wordpress.com/" TargetMode="External"/><Relationship Id="rId1896" Type="http://schemas.openxmlformats.org/officeDocument/2006/relationships/hyperlink" Target="http://www.siempre.com.mx/" TargetMode="External"/><Relationship Id="rId2074" Type="http://schemas.openxmlformats.org/officeDocument/2006/relationships/hyperlink" Target="http://www.grancanariatv.com/" TargetMode="External"/><Relationship Id="rId2281" Type="http://schemas.openxmlformats.org/officeDocument/2006/relationships/hyperlink" Target="http://www.ciudadanos-cs.org/" TargetMode="External"/><Relationship Id="rId2502" Type="http://schemas.openxmlformats.org/officeDocument/2006/relationships/hyperlink" Target="http://www.huffingtonpost.es/" TargetMode="External"/><Relationship Id="rId253" Type="http://schemas.openxmlformats.org/officeDocument/2006/relationships/hyperlink" Target="https://twitter.com/hermanntertsch/status/1065693079720640512" TargetMode="External"/><Relationship Id="rId460" Type="http://schemas.openxmlformats.org/officeDocument/2006/relationships/hyperlink" Target="https://twitter.com/milkwasabad/timelines/517599773244006400" TargetMode="External"/><Relationship Id="rId698" Type="http://schemas.openxmlformats.org/officeDocument/2006/relationships/hyperlink" Target="http://www.lacerca.com/" TargetMode="External"/><Relationship Id="rId919" Type="http://schemas.openxmlformats.org/officeDocument/2006/relationships/hyperlink" Target="http://pic.twitter.com/NDfYES1ukG" TargetMode="External"/><Relationship Id="rId1090" Type="http://schemas.openxmlformats.org/officeDocument/2006/relationships/hyperlink" Target="http://eldiario.es/" TargetMode="External"/><Relationship Id="rId1104" Type="http://schemas.openxmlformats.org/officeDocument/2006/relationships/hyperlink" Target="https://www.publico.es/tremending/2018/11/21/por-que-albert-rivera-no-se-atreve-a-decir-que-vox-es-extrema-derecha-twitter-analiza-los-motivos/" TargetMode="External"/><Relationship Id="rId1311" Type="http://schemas.openxmlformats.org/officeDocument/2006/relationships/hyperlink" Target="http://www.eltelescopiodigital.com/index.php/es/corredornews/corredor-del-henares/villalbilla/60647-cs-consigue-150-kilos-de-alimentos-en-su-carpa-solidaria-de-villalbilla.html" TargetMode="External"/><Relationship Id="rId1549" Type="http://schemas.openxmlformats.org/officeDocument/2006/relationships/hyperlink" Target="https://www.youtube.com/watch?v=RQtT__tQB_4" TargetMode="External"/><Relationship Id="rId1756" Type="http://schemas.openxmlformats.org/officeDocument/2006/relationships/hyperlink" Target="http://www.hoyporhoy.es/" TargetMode="External"/><Relationship Id="rId1963" Type="http://schemas.openxmlformats.org/officeDocument/2006/relationships/hyperlink" Target="http://pic.twitter.com/8NJznSu2lp" TargetMode="External"/><Relationship Id="rId2141" Type="http://schemas.openxmlformats.org/officeDocument/2006/relationships/hyperlink" Target="https://youtu.be/Rj-R7Ex9YKE" TargetMode="External"/><Relationship Id="rId2379" Type="http://schemas.openxmlformats.org/officeDocument/2006/relationships/hyperlink" Target="http://pic.twitter.com/J6p6QXdoxx" TargetMode="External"/><Relationship Id="rId2586" Type="http://schemas.openxmlformats.org/officeDocument/2006/relationships/hyperlink" Target="http://eldiadigital.es/" TargetMode="External"/><Relationship Id="rId2793" Type="http://schemas.openxmlformats.org/officeDocument/2006/relationships/hyperlink" Target="https://latintademagallines.wordpress.com/" TargetMode="External"/><Relationship Id="rId2807" Type="http://schemas.openxmlformats.org/officeDocument/2006/relationships/hyperlink" Target="https://pbs.twimg.com/media/DsZXxQ0WwAANEky.jpg" TargetMode="External"/><Relationship Id="rId48" Type="http://schemas.openxmlformats.org/officeDocument/2006/relationships/hyperlink" Target="http://pic.twitter.com/NDmHnFegLJ" TargetMode="External"/><Relationship Id="rId113" Type="http://schemas.openxmlformats.org/officeDocument/2006/relationships/hyperlink" Target="https://blogs.publico.es/econonuestra/2018/11/23/manila-ciudad-de-albert-rivera/" TargetMode="External"/><Relationship Id="rId320" Type="http://schemas.openxmlformats.org/officeDocument/2006/relationships/hyperlink" Target="https://pbs.twimg.com/media/Dsng6pPU0AI3T7k.jpg" TargetMode="External"/><Relationship Id="rId558" Type="http://schemas.openxmlformats.org/officeDocument/2006/relationships/hyperlink" Target="http://www.bitmomentum.com/" TargetMode="External"/><Relationship Id="rId765" Type="http://schemas.openxmlformats.org/officeDocument/2006/relationships/hyperlink" Target="https://pbs.twimg.com/media/DsgwGuqU8AEeA9d.jpg" TargetMode="External"/><Relationship Id="rId972" Type="http://schemas.openxmlformats.org/officeDocument/2006/relationships/hyperlink" Target="https://twitter.com/XarnegoSedicios/status/1065228857148678144" TargetMode="External"/><Relationship Id="rId1188" Type="http://schemas.openxmlformats.org/officeDocument/2006/relationships/hyperlink" Target="https://m.facebook.com/?_rdr" TargetMode="External"/><Relationship Id="rId1395" Type="http://schemas.openxmlformats.org/officeDocument/2006/relationships/hyperlink" Target="http://www.telemadrid.es/" TargetMode="External"/><Relationship Id="rId1409" Type="http://schemas.openxmlformats.org/officeDocument/2006/relationships/hyperlink" Target="https://www.publico.es/tremending/2018/11/21/por-que-albert-rivera-no-se-atreve-a-decir-que-vox-es-extrema-derecha-twitter-analiza-los-motivos/" TargetMode="External"/><Relationship Id="rId1616" Type="http://schemas.openxmlformats.org/officeDocument/2006/relationships/hyperlink" Target="http://www.bitmomentum.com/" TargetMode="External"/><Relationship Id="rId1823" Type="http://schemas.openxmlformats.org/officeDocument/2006/relationships/hyperlink" Target="https://youtu.be/V9YYQDqha-Q?aoz57=8755000264" TargetMode="External"/><Relationship Id="rId2001" Type="http://schemas.openxmlformats.org/officeDocument/2006/relationships/hyperlink" Target="https://youtu.be/D62g8svIjSc" TargetMode="External"/><Relationship Id="rId2239" Type="http://schemas.openxmlformats.org/officeDocument/2006/relationships/hyperlink" Target="https://www.youtube.com/watch?v=Vvvq1GenBy4" TargetMode="External"/><Relationship Id="rId2446" Type="http://schemas.openxmlformats.org/officeDocument/2006/relationships/hyperlink" Target="http://www.ciudadanos-cs.org/" TargetMode="External"/><Relationship Id="rId2653" Type="http://schemas.openxmlformats.org/officeDocument/2006/relationships/hyperlink" Target="http://pic.twitter.com/XQeEdy9JCL" TargetMode="External"/><Relationship Id="rId197" Type="http://schemas.openxmlformats.org/officeDocument/2006/relationships/hyperlink" Target="http://alcantarillasocial.com/author/protestona1" TargetMode="External"/><Relationship Id="rId418" Type="http://schemas.openxmlformats.org/officeDocument/2006/relationships/hyperlink" Target="http://www.instagram.com/lapatry_cruz" TargetMode="External"/><Relationship Id="rId625" Type="http://schemas.openxmlformats.org/officeDocument/2006/relationships/hyperlink" Target="http://www.youtube.com/sila661" TargetMode="External"/><Relationship Id="rId832" Type="http://schemas.openxmlformats.org/officeDocument/2006/relationships/hyperlink" Target="https://elpais.com/politica/2018/11/21/actualidad/1542795112_974513.html" TargetMode="External"/><Relationship Id="rId1048" Type="http://schemas.openxmlformats.org/officeDocument/2006/relationships/hyperlink" Target="https://www.eldiario.es/_31f65118" TargetMode="External"/><Relationship Id="rId1255" Type="http://schemas.openxmlformats.org/officeDocument/2006/relationships/hyperlink" Target="https://www.publico.es/tremending/2018/11/21/por-que-albert-rivera-no-se-atreve-a-decir-que-vox-es-extrema-derecha-twitter-analiza-los-motivos/?utm_source=twitter&amp;utm_medium=social&amp;utm_campaign=publico" TargetMode="External"/><Relationship Id="rId1462" Type="http://schemas.openxmlformats.org/officeDocument/2006/relationships/hyperlink" Target="https://pbs.twimg.com/media/Dshu2bAX4AACMBT.jpg" TargetMode="External"/><Relationship Id="rId2085" Type="http://schemas.openxmlformats.org/officeDocument/2006/relationships/hyperlink" Target="http://www.lacerca.com/noticias/espana/rivera-sanchez-iglesias-junqueras-cambian-indultos-escanos-inmoral-445811-1.html" TargetMode="External"/><Relationship Id="rId2292" Type="http://schemas.openxmlformats.org/officeDocument/2006/relationships/hyperlink" Target="http://www.ciudadanos-cs.org/" TargetMode="External"/><Relationship Id="rId2306" Type="http://schemas.openxmlformats.org/officeDocument/2006/relationships/hyperlink" Target="https://pbs.twimg.com/media/DsdqD6yX4AIbSmW.jpg" TargetMode="External"/><Relationship Id="rId2513" Type="http://schemas.openxmlformats.org/officeDocument/2006/relationships/hyperlink" Target="https://www.elnacional.cat/enblau/ca/televisio/susanna-griso-albert-rivera-luis-alfonso-borbon_326550_102.html" TargetMode="External"/><Relationship Id="rId264" Type="http://schemas.openxmlformats.org/officeDocument/2006/relationships/hyperlink" Target="https://pbs.twimg.com/media/DspBSH_U4AACbeO.jpg" TargetMode="External"/><Relationship Id="rId471" Type="http://schemas.openxmlformats.org/officeDocument/2006/relationships/hyperlink" Target="https://twitter.com/jitorreblanca/status/1065620157656109058" TargetMode="External"/><Relationship Id="rId1115" Type="http://schemas.openxmlformats.org/officeDocument/2006/relationships/hyperlink" Target="https://twitter.com/yonkiou" TargetMode="External"/><Relationship Id="rId1322" Type="http://schemas.openxmlformats.org/officeDocument/2006/relationships/hyperlink" Target="https://amp.elmundo.es/economia/macroeconomia/2018/11/21/5bf542fa46163f8e9e8b4669.html" TargetMode="External"/><Relationship Id="rId1767" Type="http://schemas.openxmlformats.org/officeDocument/2006/relationships/hyperlink" Target="https://pbs.twimg.com/media/Dsgpf7hW0AAHcJq.jpg" TargetMode="External"/><Relationship Id="rId1974" Type="http://schemas.openxmlformats.org/officeDocument/2006/relationships/hyperlink" Target="https://twitter.com/gabrielrufian/status/1064982449971752961" TargetMode="External"/><Relationship Id="rId2152" Type="http://schemas.openxmlformats.org/officeDocument/2006/relationships/hyperlink" Target="https://www.europapress.es/nacional/noticia-congreso-voto-psoe-rechaza-pronunciarse-contra-indultos-politicos-independentistas-20181120195206.html" TargetMode="External"/><Relationship Id="rId2597" Type="http://schemas.openxmlformats.org/officeDocument/2006/relationships/hyperlink" Target="http://radiocorazondigital.blogspot.com.es/" TargetMode="External"/><Relationship Id="rId2720" Type="http://schemas.openxmlformats.org/officeDocument/2006/relationships/hyperlink" Target="https://a.msn.com/r/2/BBPTvWt?m=es-es&amp;referrerID=InAppShare" TargetMode="External"/><Relationship Id="rId59" Type="http://schemas.openxmlformats.org/officeDocument/2006/relationships/hyperlink" Target="http://www.atuspain.es/" TargetMode="External"/><Relationship Id="rId124" Type="http://schemas.openxmlformats.org/officeDocument/2006/relationships/hyperlink" Target="https://pbs.twimg.com/media/DsrkdUjWkAAFbfy.jpg" TargetMode="External"/><Relationship Id="rId569" Type="http://schemas.openxmlformats.org/officeDocument/2006/relationships/hyperlink" Target="https://www.eldiario.es/_31f65118" TargetMode="External"/><Relationship Id="rId776" Type="http://schemas.openxmlformats.org/officeDocument/2006/relationships/hyperlink" Target="https://www.ciudadanos-cs.org/prensa/rivera-con-un-corte-electoral-del-3-los-grupos-nacionalistas-que-insultan-a-espana-no-estarian-en-el-congreso/11099" TargetMode="External"/><Relationship Id="rId983" Type="http://schemas.openxmlformats.org/officeDocument/2006/relationships/hyperlink" Target="https://pbs.twimg.com/media/Dsh4_XYWkAEmPTa.jpg" TargetMode="External"/><Relationship Id="rId1199" Type="http://schemas.openxmlformats.org/officeDocument/2006/relationships/hyperlink" Target="http://parlamento-andalucia.ciudadanos-cs.org/" TargetMode="External"/><Relationship Id="rId1627" Type="http://schemas.openxmlformats.org/officeDocument/2006/relationships/hyperlink" Target="https://pbs.twimg.com/media/DshI0dmX4AAK_CC.jpg" TargetMode="External"/><Relationship Id="rId1834" Type="http://schemas.openxmlformats.org/officeDocument/2006/relationships/hyperlink" Target="http://www.lechuguinos.com/albert-rivera-venezuela-espana/" TargetMode="External"/><Relationship Id="rId2457" Type="http://schemas.openxmlformats.org/officeDocument/2006/relationships/hyperlink" Target="http://a.msn.com/01/es-es/BBPTvWt?ocid=st" TargetMode="External"/><Relationship Id="rId2664" Type="http://schemas.openxmlformats.org/officeDocument/2006/relationships/hyperlink" Target="http://instagram.com/kikokokic" TargetMode="External"/><Relationship Id="rId331" Type="http://schemas.openxmlformats.org/officeDocument/2006/relationships/hyperlink" Target="http://parlamento-andalucia.ciudadanos-cs.org/" TargetMode="External"/><Relationship Id="rId429" Type="http://schemas.openxmlformats.org/officeDocument/2006/relationships/hyperlink" Target="https://pbs.twimg.com/media/DsoC4njW0AIu585.jpg" TargetMode="External"/><Relationship Id="rId636" Type="http://schemas.openxmlformats.org/officeDocument/2006/relationships/hyperlink" Target="http://pic.twitter.com/yLc7NSz8qW" TargetMode="External"/><Relationship Id="rId1059" Type="http://schemas.openxmlformats.org/officeDocument/2006/relationships/hyperlink" Target="http://www.agustin-millan.photos/" TargetMode="External"/><Relationship Id="rId1266" Type="http://schemas.openxmlformats.org/officeDocument/2006/relationships/hyperlink" Target="http://resonanciasocial.wordpress.com/" TargetMode="External"/><Relationship Id="rId1473" Type="http://schemas.openxmlformats.org/officeDocument/2006/relationships/hyperlink" Target="http://instagram.com/mangelherrero/" TargetMode="External"/><Relationship Id="rId2012" Type="http://schemas.openxmlformats.org/officeDocument/2006/relationships/hyperlink" Target="http://bit.ly/2FAA24b" TargetMode="External"/><Relationship Id="rId2096" Type="http://schemas.openxmlformats.org/officeDocument/2006/relationships/hyperlink" Target="http://atres.red/2qo6r4" TargetMode="External"/><Relationship Id="rId2317" Type="http://schemas.openxmlformats.org/officeDocument/2006/relationships/hyperlink" Target="http://sergio-zorita.blogspot.com/" TargetMode="External"/><Relationship Id="rId843" Type="http://schemas.openxmlformats.org/officeDocument/2006/relationships/hyperlink" Target="http://www.manuelhuerga.com/" TargetMode="External"/><Relationship Id="rId1126" Type="http://schemas.openxmlformats.org/officeDocument/2006/relationships/hyperlink" Target="http://somatemps.me/" TargetMode="External"/><Relationship Id="rId1680" Type="http://schemas.openxmlformats.org/officeDocument/2006/relationships/hyperlink" Target="http://www.atlas-news.com/" TargetMode="External"/><Relationship Id="rId1778" Type="http://schemas.openxmlformats.org/officeDocument/2006/relationships/hyperlink" Target="https://pbs.twimg.com/media/Dsd13jTVYAAsuW9.jpg" TargetMode="External"/><Relationship Id="rId1901" Type="http://schemas.openxmlformats.org/officeDocument/2006/relationships/hyperlink" Target="https://www.huffingtonpost.es/2018/11/20/la-respuesta-de-atresmedia-a-albert-rivera-por-lo-que-ha-dicho-sobre-la-casa-de-papel_a_23594976/" TargetMode="External"/><Relationship Id="rId1985" Type="http://schemas.openxmlformats.org/officeDocument/2006/relationships/hyperlink" Target="https://www.elindependiente.com/politica/2018/11/20/rivera-exige-disculpas-pp-psoe-pacto-la-verguenza-del-cppg/?utm_source=share_buttons&amp;utm_medium=twitter&amp;utm_campaign=social_share" TargetMode="External"/><Relationship Id="rId2524" Type="http://schemas.openxmlformats.org/officeDocument/2006/relationships/hyperlink" Target="https://twitter.com/okdiario/status/1064850488498233344" TargetMode="External"/><Relationship Id="rId2731" Type="http://schemas.openxmlformats.org/officeDocument/2006/relationships/hyperlink" Target="http://www.espa&#241;a.es/" TargetMode="External"/><Relationship Id="rId275" Type="http://schemas.openxmlformats.org/officeDocument/2006/relationships/hyperlink" Target="https://pbs.twimg.com/media/Dsi6qxGWkAM8_W6.jpg" TargetMode="External"/><Relationship Id="rId482" Type="http://schemas.openxmlformats.org/officeDocument/2006/relationships/hyperlink" Target="https://www.alertanacional.es/" TargetMode="External"/><Relationship Id="rId703" Type="http://schemas.openxmlformats.org/officeDocument/2006/relationships/hyperlink" Target="https://pbs.twimg.com/media/Dsm2xlvWwAIE80H.jpg" TargetMode="External"/><Relationship Id="rId910" Type="http://schemas.openxmlformats.org/officeDocument/2006/relationships/hyperlink" Target="http://www.bitmomentum.com/" TargetMode="External"/><Relationship Id="rId1333" Type="http://schemas.openxmlformats.org/officeDocument/2006/relationships/hyperlink" Target="https://www.elindependiente.com/politica/2018/11/20/tarda-rivera-cada-vez-nos-llame-golpistas-le-llamaremos-fascista/?utm_source=share_buttons&amp;utm_medium=twitter&amp;utm_campaign=social_share2" TargetMode="External"/><Relationship Id="rId1540" Type="http://schemas.openxmlformats.org/officeDocument/2006/relationships/hyperlink" Target="http://lasabiduriarompioelsaco.blogspot.com/" TargetMode="External"/><Relationship Id="rId1638" Type="http://schemas.openxmlformats.org/officeDocument/2006/relationships/hyperlink" Target="http://cantabria.ciudadanos-cs.org/" TargetMode="External"/><Relationship Id="rId2163" Type="http://schemas.openxmlformats.org/officeDocument/2006/relationships/hyperlink" Target="http://bit.ly/2Dziu5Z" TargetMode="External"/><Relationship Id="rId2370" Type="http://schemas.openxmlformats.org/officeDocument/2006/relationships/hyperlink" Target="http://cadenaser.com/" TargetMode="External"/><Relationship Id="rId135" Type="http://schemas.openxmlformats.org/officeDocument/2006/relationships/hyperlink" Target="https://www.facebook.com/groups/1523383624657240/?fref=nf" TargetMode="External"/><Relationship Id="rId342" Type="http://schemas.openxmlformats.org/officeDocument/2006/relationships/hyperlink" Target="https://www.huffingtonpost.es/2018/11/03/ana-morgade-en-otra-vuelta-de-tuerka-para-mi-albert-rivera-es-la-imagen-del-panico_a_23579452/?ncid=other_twitter_cooo9wqtham&amp;utm_campaign=share_twitter" TargetMode="External"/><Relationship Id="rId787" Type="http://schemas.openxmlformats.org/officeDocument/2006/relationships/hyperlink" Target="http://arainfo.org/" TargetMode="External"/><Relationship Id="rId994" Type="http://schemas.openxmlformats.org/officeDocument/2006/relationships/hyperlink" Target="http://pic.twitter.com/m7iMIS5ISP" TargetMode="External"/><Relationship Id="rId1400" Type="http://schemas.openxmlformats.org/officeDocument/2006/relationships/hyperlink" Target="https://www.publico.es/tremending/2018/11/21/por-que-albert-rivera-no-se-atreve-a-decir-que-vox-es-extrema-derecha-twitter-analiza-los-motivos/?utm_source=twitter&amp;utm_medium=social&amp;utm_campaign=publico" TargetMode="External"/><Relationship Id="rId1845" Type="http://schemas.openxmlformats.org/officeDocument/2006/relationships/hyperlink" Target="http://pic.twitter.com/suRYuYRbGQ" TargetMode="External"/><Relationship Id="rId2023" Type="http://schemas.openxmlformats.org/officeDocument/2006/relationships/hyperlink" Target="http://pic.twitter.com/BZrPnR06KV" TargetMode="External"/><Relationship Id="rId2230" Type="http://schemas.openxmlformats.org/officeDocument/2006/relationships/hyperlink" Target="http://pic.twitter.com/SGMS0kikyt" TargetMode="External"/><Relationship Id="rId2468" Type="http://schemas.openxmlformats.org/officeDocument/2006/relationships/hyperlink" Target="http://3navegantes.wordpress.com/" TargetMode="External"/><Relationship Id="rId2675" Type="http://schemas.openxmlformats.org/officeDocument/2006/relationships/hyperlink" Target="http://www.forohispanoisraeli.com/" TargetMode="External"/><Relationship Id="rId202" Type="http://schemas.openxmlformats.org/officeDocument/2006/relationships/hyperlink" Target="https://pbs.twimg.com/media/DsovbbzXQAAdlRC.jpg" TargetMode="External"/><Relationship Id="rId647" Type="http://schemas.openxmlformats.org/officeDocument/2006/relationships/hyperlink" Target="http://www.youtube.com/sila661" TargetMode="External"/><Relationship Id="rId854" Type="http://schemas.openxmlformats.org/officeDocument/2006/relationships/hyperlink" Target="http://coctelbolsa.webnode.es/" TargetMode="External"/><Relationship Id="rId1277" Type="http://schemas.openxmlformats.org/officeDocument/2006/relationships/hyperlink" Target="https://m.europapress.es/andalucia/noticia-rivera-ve-sanchez-pge-protagonista-aterrizacomo-puedas-pide-no-marear-sacar-urnas-20181117144044.html" TargetMode="External"/><Relationship Id="rId1484" Type="http://schemas.openxmlformats.org/officeDocument/2006/relationships/hyperlink" Target="https://www.instagram.com/eternodiecisiete/" TargetMode="External"/><Relationship Id="rId1691" Type="http://schemas.openxmlformats.org/officeDocument/2006/relationships/hyperlink" Target="https://pbs.twimg.com/media/Dsg6Cm1XgAA0GZI.jpg" TargetMode="External"/><Relationship Id="rId1705" Type="http://schemas.openxmlformats.org/officeDocument/2006/relationships/hyperlink" Target="http://cadenaser.com/programa/2018/11/20/hoy_por_hoy/1542712340_800654.html" TargetMode="External"/><Relationship Id="rId1912" Type="http://schemas.openxmlformats.org/officeDocument/2006/relationships/hyperlink" Target="http://pic.twitter.com/8RkM98kYGq" TargetMode="External"/><Relationship Id="rId2328" Type="http://schemas.openxmlformats.org/officeDocument/2006/relationships/hyperlink" Target="http://pic.twitter.com/Jw1JhdbHJ7" TargetMode="External"/><Relationship Id="rId2535" Type="http://schemas.openxmlformats.org/officeDocument/2006/relationships/hyperlink" Target="https://pbs.twimg.com/media/DscbflWXcAoBwo_.jpg" TargetMode="External"/><Relationship Id="rId2742" Type="http://schemas.openxmlformats.org/officeDocument/2006/relationships/hyperlink" Target="https://pbs.twimg.com/media/Dsak2tlWwAAyO50.jpg" TargetMode="External"/><Relationship Id="rId286" Type="http://schemas.openxmlformats.org/officeDocument/2006/relationships/hyperlink" Target="https://www.instagram.com/crisnpatience/" TargetMode="External"/><Relationship Id="rId493" Type="http://schemas.openxmlformats.org/officeDocument/2006/relationships/hyperlink" Target="http://www.ciudadanos-cs.org/nuestras-ideas" TargetMode="External"/><Relationship Id="rId507" Type="http://schemas.openxmlformats.org/officeDocument/2006/relationships/hyperlink" Target="https://thunderstroke.es/" TargetMode="External"/><Relationship Id="rId714" Type="http://schemas.openxmlformats.org/officeDocument/2006/relationships/hyperlink" Target="http://pic.twitter.com/cCVhEbwr2r" TargetMode="External"/><Relationship Id="rId921" Type="http://schemas.openxmlformats.org/officeDocument/2006/relationships/hyperlink" Target="https://www.youtube.com/c/alfilodelabrecha" TargetMode="External"/><Relationship Id="rId1137" Type="http://schemas.openxmlformats.org/officeDocument/2006/relationships/hyperlink" Target="https://www.vozpopuli.com/_471b7615" TargetMode="External"/><Relationship Id="rId1344" Type="http://schemas.openxmlformats.org/officeDocument/2006/relationships/hyperlink" Target="https://www.elplural.com/politica/albert-rivera-copia-modelo-bus-propagandista-que-critico-a-podemos_206760102" TargetMode="External"/><Relationship Id="rId1551" Type="http://schemas.openxmlformats.org/officeDocument/2006/relationships/hyperlink" Target="https://twitter.com/Albert_Rivera/status/1064950502423740417" TargetMode="External"/><Relationship Id="rId1789" Type="http://schemas.openxmlformats.org/officeDocument/2006/relationships/hyperlink" Target="https://www.rac1.cat/info-rac1/20181120/453073235347/autocar-campanya-ciutadans-oriol-junqueras-carles-puigdemont.html" TargetMode="External"/><Relationship Id="rId1996" Type="http://schemas.openxmlformats.org/officeDocument/2006/relationships/hyperlink" Target="https://pbs.twimg.com/media/DseUqWDXQAEHWTc.jpg" TargetMode="External"/><Relationship Id="rId2174" Type="http://schemas.openxmlformats.org/officeDocument/2006/relationships/hyperlink" Target="https://pbs.twimg.com/media/Dsd6w2MWkAE43YW.jpg" TargetMode="External"/><Relationship Id="rId2381" Type="http://schemas.openxmlformats.org/officeDocument/2006/relationships/hyperlink" Target="https://pbs.twimg.com/media/DsdPYgHWoAAyfpz.jpg" TargetMode="External"/><Relationship Id="rId2602" Type="http://schemas.openxmlformats.org/officeDocument/2006/relationships/hyperlink" Target="https://pbs.twimg.com/media/DscD6oPXcAAJzwO.jpg" TargetMode="External"/><Relationship Id="rId50" Type="http://schemas.openxmlformats.org/officeDocument/2006/relationships/hyperlink" Target="https://twitter.com/jlgonzalez555/status/1065888417442091010" TargetMode="External"/><Relationship Id="rId146" Type="http://schemas.openxmlformats.org/officeDocument/2006/relationships/hyperlink" Target="https://curiouscat.me/JoeRunnerZZ" TargetMode="External"/><Relationship Id="rId353" Type="http://schemas.openxmlformats.org/officeDocument/2006/relationships/hyperlink" Target="https://pbs.twimg.com/media/DsgwGuqU8AEeA9d.jpg" TargetMode="External"/><Relationship Id="rId560" Type="http://schemas.openxmlformats.org/officeDocument/2006/relationships/hyperlink" Target="https://www.asivaespana.com/politica/el-psoe-busca-a-albert-rivera-en-el-congreso-y-le-mandan-un-zas-monumental" TargetMode="External"/><Relationship Id="rId798" Type="http://schemas.openxmlformats.org/officeDocument/2006/relationships/hyperlink" Target="https://pbs.twimg.com/media/DsmWGaUXoAAwJl8.jpg" TargetMode="External"/><Relationship Id="rId1190" Type="http://schemas.openxmlformats.org/officeDocument/2006/relationships/hyperlink" Target="https://pbs.twimg.com/media/Dsg6-jOWwAAkAKE.jpg" TargetMode="External"/><Relationship Id="rId1204" Type="http://schemas.openxmlformats.org/officeDocument/2006/relationships/hyperlink" Target="https://www.instagram.com/ottomas/" TargetMode="External"/><Relationship Id="rId1411" Type="http://schemas.openxmlformats.org/officeDocument/2006/relationships/hyperlink" Target="http://elblogdecesarmb.blogspot.com/" TargetMode="External"/><Relationship Id="rId1649" Type="http://schemas.openxmlformats.org/officeDocument/2006/relationships/hyperlink" Target="http://pic.twitter.com/0NhzWx8lXW" TargetMode="External"/><Relationship Id="rId1856" Type="http://schemas.openxmlformats.org/officeDocument/2006/relationships/hyperlink" Target="http://pic.twitter.com/Plcl3OoheA" TargetMode="External"/><Relationship Id="rId2034" Type="http://schemas.openxmlformats.org/officeDocument/2006/relationships/hyperlink" Target="http://pic.twitter.com/ee7D3q2jfK" TargetMode="External"/><Relationship Id="rId2241" Type="http://schemas.openxmlformats.org/officeDocument/2006/relationships/hyperlink" Target="https://www.youtube.com/watch?v=64sgFG9MlcI" TargetMode="External"/><Relationship Id="rId2479" Type="http://schemas.openxmlformats.org/officeDocument/2006/relationships/hyperlink" Target="http://www.bitmomentum.com/" TargetMode="External"/><Relationship Id="rId2686" Type="http://schemas.openxmlformats.org/officeDocument/2006/relationships/hyperlink" Target="https://www.elmundo.es/cataluna/2018/11/20/5bf30ac5468aeb7a7e8b4607.html" TargetMode="External"/><Relationship Id="rId213" Type="http://schemas.openxmlformats.org/officeDocument/2006/relationships/hyperlink" Target="https://projecto2019vendre.wixsite.com/tatarlak" TargetMode="External"/><Relationship Id="rId420" Type="http://schemas.openxmlformats.org/officeDocument/2006/relationships/hyperlink" Target="http://pic.twitter.com/mRs3xNE6ZS" TargetMode="External"/><Relationship Id="rId658" Type="http://schemas.openxmlformats.org/officeDocument/2006/relationships/hyperlink" Target="http://partidorepes.wordpress.com/" TargetMode="External"/><Relationship Id="rId865" Type="http://schemas.openxmlformats.org/officeDocument/2006/relationships/hyperlink" Target="https://www.rafamorata.es/" TargetMode="External"/><Relationship Id="rId1050" Type="http://schemas.openxmlformats.org/officeDocument/2006/relationships/hyperlink" Target="https://www.cursowp-online.com/" TargetMode="External"/><Relationship Id="rId1288" Type="http://schemas.openxmlformats.org/officeDocument/2006/relationships/hyperlink" Target="http://asamblea-madrid.ciudadanos-cs.org/" TargetMode="External"/><Relationship Id="rId1495" Type="http://schemas.openxmlformats.org/officeDocument/2006/relationships/hyperlink" Target="https://pbs.twimg.com/media/DshniCQW0AACrAH.jpg" TargetMode="External"/><Relationship Id="rId1509" Type="http://schemas.openxmlformats.org/officeDocument/2006/relationships/hyperlink" Target="https://telegram.me/ecorepublicano" TargetMode="External"/><Relationship Id="rId1716" Type="http://schemas.openxmlformats.org/officeDocument/2006/relationships/hyperlink" Target="https://pbs.twimg.com/media/DsgwxVOXoAATlBQ.jpg" TargetMode="External"/><Relationship Id="rId1923" Type="http://schemas.openxmlformats.org/officeDocument/2006/relationships/hyperlink" Target="https://www.huffingtonpost.es/2018/11/20/la-respuesta-de-atresmedia-a-albert-rivera-por-lo-que-ha-dicho-sobre-la-casa-de-papel_a_23594976/" TargetMode="External"/><Relationship Id="rId2101" Type="http://schemas.openxmlformats.org/officeDocument/2006/relationships/hyperlink" Target="http://www.ramblalibre.com/" TargetMode="External"/><Relationship Id="rId2339" Type="http://schemas.openxmlformats.org/officeDocument/2006/relationships/hyperlink" Target="https://pbs.twimg.com/media/DsdkAnbWkAIjNAs.jpg" TargetMode="External"/><Relationship Id="rId2546" Type="http://schemas.openxmlformats.org/officeDocument/2006/relationships/hyperlink" Target="http://www.marbellaconfidencial.es/" TargetMode="External"/><Relationship Id="rId2753" Type="http://schemas.openxmlformats.org/officeDocument/2006/relationships/hyperlink" Target="http://youtu.be/BtIOOKTHRTU?a" TargetMode="External"/><Relationship Id="rId297" Type="http://schemas.openxmlformats.org/officeDocument/2006/relationships/hyperlink" Target="https://pbs.twimg.com/media/Dso0iPjU0AAxacy.jpg" TargetMode="External"/><Relationship Id="rId518" Type="http://schemas.openxmlformats.org/officeDocument/2006/relationships/hyperlink" Target="http://www.bitmomentum.com/" TargetMode="External"/><Relationship Id="rId725" Type="http://schemas.openxmlformats.org/officeDocument/2006/relationships/hyperlink" Target="https://www.elperiodico.com/es/politica/20181122/albert-rivera-2017-montar-autobus-no-es-hacer-oposicion-7161584?utm_source=twitter&amp;utm_medium=social" TargetMode="External"/><Relationship Id="rId932" Type="http://schemas.openxmlformats.org/officeDocument/2006/relationships/hyperlink" Target="http://curiouscat.me/Orphen" TargetMode="External"/><Relationship Id="rId1148" Type="http://schemas.openxmlformats.org/officeDocument/2006/relationships/hyperlink" Target="http://coordinadora25s.wordpress.com/" TargetMode="External"/><Relationship Id="rId1355" Type="http://schemas.openxmlformats.org/officeDocument/2006/relationships/hyperlink" Target="https://www.facebook.com/psoefondon/videos/338337640279078/" TargetMode="External"/><Relationship Id="rId1562" Type="http://schemas.openxmlformats.org/officeDocument/2006/relationships/hyperlink" Target="https://twitter.com/i/events/1065185695180849152" TargetMode="External"/><Relationship Id="rId2185" Type="http://schemas.openxmlformats.org/officeDocument/2006/relationships/hyperlink" Target="https://www.ciudadanos-cs.org/" TargetMode="External"/><Relationship Id="rId2392" Type="http://schemas.openxmlformats.org/officeDocument/2006/relationships/hyperlink" Target="https://www.youtube.com/watch?v=GKN2W6ysdlQ" TargetMode="External"/><Relationship Id="rId2406" Type="http://schemas.openxmlformats.org/officeDocument/2006/relationships/hyperlink" Target="https://twitter.com/poderjudiciales/status/1064781272483012609" TargetMode="External"/><Relationship Id="rId2613" Type="http://schemas.openxmlformats.org/officeDocument/2006/relationships/hyperlink" Target="http://pic.twitter.com/pqd7RjhttP" TargetMode="External"/><Relationship Id="rId157" Type="http://schemas.openxmlformats.org/officeDocument/2006/relationships/hyperlink" Target="http://www.libertaddigital.com/" TargetMode="External"/><Relationship Id="rId364" Type="http://schemas.openxmlformats.org/officeDocument/2006/relationships/hyperlink" Target="https://www.elmundo.es/espana/2018/11/22/5bf6a067e5fdea356f8b4633.html" TargetMode="External"/><Relationship Id="rId1008" Type="http://schemas.openxmlformats.org/officeDocument/2006/relationships/hyperlink" Target="https://goo.gl/LgNNqq?xib53=9002453556" TargetMode="External"/><Relationship Id="rId1215" Type="http://schemas.openxmlformats.org/officeDocument/2006/relationships/hyperlink" Target="http://www.bitmomentum.com/" TargetMode="External"/><Relationship Id="rId1422" Type="http://schemas.openxmlformats.org/officeDocument/2006/relationships/hyperlink" Target="https://youtu.be/Vvvq1GenBy4" TargetMode="External"/><Relationship Id="rId1867" Type="http://schemas.openxmlformats.org/officeDocument/2006/relationships/hyperlink" Target="http://www.bitmomentum.com/" TargetMode="External"/><Relationship Id="rId2045" Type="http://schemas.openxmlformats.org/officeDocument/2006/relationships/hyperlink" Target="https://www.elmundo.es/espana/2018/11/20/5bf3e474e2704ec6568b4825.html" TargetMode="External"/><Relationship Id="rId2697" Type="http://schemas.openxmlformats.org/officeDocument/2006/relationships/hyperlink" Target="http://www.dimonisrafolins.com/" TargetMode="External"/><Relationship Id="rId61" Type="http://schemas.openxmlformats.org/officeDocument/2006/relationships/hyperlink" Target="http://www.vglizondo.org/" TargetMode="External"/><Relationship Id="rId571" Type="http://schemas.openxmlformats.org/officeDocument/2006/relationships/hyperlink" Target="https://pbs.twimg.com/media/DsnTWYUXcAA42CS.png" TargetMode="External"/><Relationship Id="rId669" Type="http://schemas.openxmlformats.org/officeDocument/2006/relationships/hyperlink" Target="http://www.bitmomentum.com/" TargetMode="External"/><Relationship Id="rId876" Type="http://schemas.openxmlformats.org/officeDocument/2006/relationships/hyperlink" Target="http://www.antonimanchado.com/" TargetMode="External"/><Relationship Id="rId1299" Type="http://schemas.openxmlformats.org/officeDocument/2006/relationships/hyperlink" Target="https://pbs.twimg.com/media/DsiRzsYXcAAKSKa.jpg" TargetMode="External"/><Relationship Id="rId1727" Type="http://schemas.openxmlformats.org/officeDocument/2006/relationships/hyperlink" Target="http://paios-catalans.blogspot.com/" TargetMode="External"/><Relationship Id="rId1934" Type="http://schemas.openxmlformats.org/officeDocument/2006/relationships/hyperlink" Target="https://www.huffingtonpost.es/2018/11/20/la-respuesta-de-atresmedia-a-albert-rivera-por-lo-que-ha-dicho-sobre-la-casa-de-papel_a_23594976/?ncid=other_twitter_cooo9wqtham&amp;utm_campaign=share_twitter" TargetMode="External"/><Relationship Id="rId2252" Type="http://schemas.openxmlformats.org/officeDocument/2006/relationships/hyperlink" Target="https://www.ciudadanos-cs.org/" TargetMode="External"/><Relationship Id="rId2557" Type="http://schemas.openxmlformats.org/officeDocument/2006/relationships/hyperlink" Target="http://instagram.com/martosdiego" TargetMode="External"/><Relationship Id="rId19" Type="http://schemas.openxmlformats.org/officeDocument/2006/relationships/hyperlink" Target="https://pbs.twimg.com/media/DsseNGZWoAAZIET.jpg" TargetMode="External"/><Relationship Id="rId224" Type="http://schemas.openxmlformats.org/officeDocument/2006/relationships/hyperlink" Target="http://javiermarcosangulo.blogspot.com.es/" TargetMode="External"/><Relationship Id="rId431" Type="http://schemas.openxmlformats.org/officeDocument/2006/relationships/hyperlink" Target="https://twitter.com/socialistes_cat/status/1065599937038041088" TargetMode="External"/><Relationship Id="rId529" Type="http://schemas.openxmlformats.org/officeDocument/2006/relationships/hyperlink" Target="https://www.ciudadanos-cs.org/prensa/albert-rivera-e-ignacio-gordillo-participan-en-la-concentracion-de-espana-ciudadana-contra-los-indultos-y-por-las-elecciones/11103" TargetMode="External"/><Relationship Id="rId736" Type="http://schemas.openxmlformats.org/officeDocument/2006/relationships/hyperlink" Target="http://mvazurdo.wix.com/marianozurdo" TargetMode="External"/><Relationship Id="rId1061" Type="http://schemas.openxmlformats.org/officeDocument/2006/relationships/hyperlink" Target="http://diario16.com/rivera-se-niega-calificar-vox-partido-extrema-derecha/" TargetMode="External"/><Relationship Id="rId1159" Type="http://schemas.openxmlformats.org/officeDocument/2006/relationships/hyperlink" Target="https://www.publico.es/tremending/2018/11/21/por-que-albert-rivera-no-se-atreve-a-decir-que-vox-es-extrema-derecha-twitter-analiza-los-motivos/" TargetMode="External"/><Relationship Id="rId1366" Type="http://schemas.openxmlformats.org/officeDocument/2006/relationships/hyperlink" Target="http://ow.ly/yATz30mHmj1" TargetMode="External"/><Relationship Id="rId2112" Type="http://schemas.openxmlformats.org/officeDocument/2006/relationships/hyperlink" Target="https://youtu.be/juba6tfIxxs" TargetMode="External"/><Relationship Id="rId2196" Type="http://schemas.openxmlformats.org/officeDocument/2006/relationships/hyperlink" Target="https://pbs.twimg.com/media/Dsds1VLXcAA3Ud5.jpg" TargetMode="External"/><Relationship Id="rId2417" Type="http://schemas.openxmlformats.org/officeDocument/2006/relationships/hyperlink" Target="http://www.elimparcial.es/" TargetMode="External"/><Relationship Id="rId2764" Type="http://schemas.openxmlformats.org/officeDocument/2006/relationships/hyperlink" Target="http://www.huffingtonpost.es/" TargetMode="External"/><Relationship Id="rId168" Type="http://schemas.openxmlformats.org/officeDocument/2006/relationships/hyperlink" Target="https://fb.me/angeljandres" TargetMode="External"/><Relationship Id="rId943" Type="http://schemas.openxmlformats.org/officeDocument/2006/relationships/hyperlink" Target="https://twitter.com/perezreverte/status/1065322533396848641" TargetMode="External"/><Relationship Id="rId1019" Type="http://schemas.openxmlformats.org/officeDocument/2006/relationships/hyperlink" Target="https://acidel.blogspot.com/2018/11/albert-rivera-proposicion-para-la.html?spref=tw" TargetMode="External"/><Relationship Id="rId1573" Type="http://schemas.openxmlformats.org/officeDocument/2006/relationships/hyperlink" Target="http://caminodebaldosasmarillas.blogspot.com.es/" TargetMode="External"/><Relationship Id="rId1780" Type="http://schemas.openxmlformats.org/officeDocument/2006/relationships/hyperlink" Target="https://www.lavanguardia.com/politica/20181120/453073801172/joan-tarda-albert-rivera-cada-vez-golpistas-llamaremos-fascista.html" TargetMode="External"/><Relationship Id="rId1878" Type="http://schemas.openxmlformats.org/officeDocument/2006/relationships/hyperlink" Target="https://youtu.be/juba6tfIxxs" TargetMode="External"/><Relationship Id="rId2624" Type="http://schemas.openxmlformats.org/officeDocument/2006/relationships/hyperlink" Target="http://pic.twitter.com/uwYv1vwDJr" TargetMode="External"/><Relationship Id="rId72" Type="http://schemas.openxmlformats.org/officeDocument/2006/relationships/hyperlink" Target="https://twitter.com/juanmarin_cs/status/1065306165901438982" TargetMode="External"/><Relationship Id="rId375" Type="http://schemas.openxmlformats.org/officeDocument/2006/relationships/hyperlink" Target="https://www.elperiodico.com/es/politica/20181122/albert-rivera-2017-montar-autobus-no-es-hacer-oposicion-7161584" TargetMode="External"/><Relationship Id="rId582" Type="http://schemas.openxmlformats.org/officeDocument/2006/relationships/hyperlink" Target="http://gmail.com/" TargetMode="External"/><Relationship Id="rId803" Type="http://schemas.openxmlformats.org/officeDocument/2006/relationships/hyperlink" Target="http://politica.elpais.com/" TargetMode="External"/><Relationship Id="rId1226" Type="http://schemas.openxmlformats.org/officeDocument/2006/relationships/hyperlink" Target="http://youtu.be/64sgFG9MlcI?a" TargetMode="External"/><Relationship Id="rId1433" Type="http://schemas.openxmlformats.org/officeDocument/2006/relationships/hyperlink" Target="https://pbs.twimg.com/media/DshvpkJX4AEZpod.jpg" TargetMode="External"/><Relationship Id="rId1640" Type="http://schemas.openxmlformats.org/officeDocument/2006/relationships/hyperlink" Target="http://instagram.com/maria_quilezv/" TargetMode="External"/><Relationship Id="rId1738" Type="http://schemas.openxmlformats.org/officeDocument/2006/relationships/hyperlink" Target="https://pbs.twimg.com/media/Dsgta7VVYAApy0L.jpg" TargetMode="External"/><Relationship Id="rId2056" Type="http://schemas.openxmlformats.org/officeDocument/2006/relationships/hyperlink" Target="https://www.lavanguardia.com/politica/20181120/453073801172/joan-tarda-albert-rivera-cada-vez-golpistas-llamaremos-fascista.html" TargetMode="External"/><Relationship Id="rId2263" Type="http://schemas.openxmlformats.org/officeDocument/2006/relationships/hyperlink" Target="http://pic.twitter.com/jfhczFXYmP" TargetMode="External"/><Relationship Id="rId2470" Type="http://schemas.openxmlformats.org/officeDocument/2006/relationships/hyperlink" Target="http://pic.twitter.com/HXmqLHT8Jn" TargetMode="External"/><Relationship Id="rId3" Type="http://schemas.openxmlformats.org/officeDocument/2006/relationships/hyperlink" Target="http://aspercan-asociacion-asperger-canarias.blogspot.com.es/" TargetMode="External"/><Relationship Id="rId235" Type="http://schemas.openxmlformats.org/officeDocument/2006/relationships/hyperlink" Target="http://mariadoloresamoros.blogspot.com/" TargetMode="External"/><Relationship Id="rId442" Type="http://schemas.openxmlformats.org/officeDocument/2006/relationships/hyperlink" Target="https://www.facebook.com/100000119240370/posts/2735694356444512/" TargetMode="External"/><Relationship Id="rId887" Type="http://schemas.openxmlformats.org/officeDocument/2006/relationships/hyperlink" Target="http://quepormayoerapormayo.org/" TargetMode="External"/><Relationship Id="rId1072" Type="http://schemas.openxmlformats.org/officeDocument/2006/relationships/hyperlink" Target="http://www.cercadelasretamas.com/" TargetMode="External"/><Relationship Id="rId1500" Type="http://schemas.openxmlformats.org/officeDocument/2006/relationships/hyperlink" Target="http://www.telemadrid.es/emision-en-directo/" TargetMode="External"/><Relationship Id="rId1945" Type="http://schemas.openxmlformats.org/officeDocument/2006/relationships/hyperlink" Target="https://twitter.com/yosoynaranjito_/status/1064957067264430082" TargetMode="External"/><Relationship Id="rId2123" Type="http://schemas.openxmlformats.org/officeDocument/2006/relationships/hyperlink" Target="http://pic.twitter.com/iVvjvTFK8D" TargetMode="External"/><Relationship Id="rId2330" Type="http://schemas.openxmlformats.org/officeDocument/2006/relationships/hyperlink" Target="https://pbs.twimg.com/media/DsdlLTtXoAI83VW.jpg" TargetMode="External"/><Relationship Id="rId2568" Type="http://schemas.openxmlformats.org/officeDocument/2006/relationships/hyperlink" Target="http://www.bitmomentum.com/" TargetMode="External"/><Relationship Id="rId2775" Type="http://schemas.openxmlformats.org/officeDocument/2006/relationships/hyperlink" Target="http://www.juancarlosromero.wordpress.com/" TargetMode="External"/><Relationship Id="rId302" Type="http://schemas.openxmlformats.org/officeDocument/2006/relationships/hyperlink" Target="https://www.ciudadanos-cs.org/prensa/rivera-a-sanchez-se-le-ha-ido-de-las-manos-el-monstruo-de-frankenstein-que-construyo-con-rufian-iglesias-torra-y-bildu/11100" TargetMode="External"/><Relationship Id="rId747" Type="http://schemas.openxmlformats.org/officeDocument/2006/relationships/hyperlink" Target="https://pbs.twimg.com/media/Dsmpso1XoAARJ1J.jpg" TargetMode="External"/><Relationship Id="rId954" Type="http://schemas.openxmlformats.org/officeDocument/2006/relationships/hyperlink" Target="http://historiademorganica.blogspot.com.es/" TargetMode="External"/><Relationship Id="rId1377" Type="http://schemas.openxmlformats.org/officeDocument/2006/relationships/hyperlink" Target="https://pbs.twimg.com/media/Dsh4V7mW0AAD0MV.jpg" TargetMode="External"/><Relationship Id="rId1584" Type="http://schemas.openxmlformats.org/officeDocument/2006/relationships/hyperlink" Target="http://www.ciudadanos-cs.org/" TargetMode="External"/><Relationship Id="rId1791" Type="http://schemas.openxmlformats.org/officeDocument/2006/relationships/hyperlink" Target="https://www.instagram.com/crisnpatience/" TargetMode="External"/><Relationship Id="rId1805" Type="http://schemas.openxmlformats.org/officeDocument/2006/relationships/hyperlink" Target="http://www.bitmomentum.com/" TargetMode="External"/><Relationship Id="rId2428" Type="http://schemas.openxmlformats.org/officeDocument/2006/relationships/hyperlink" Target="http://albertosanzblanco.wordpress.com/" TargetMode="External"/><Relationship Id="rId2635" Type="http://schemas.openxmlformats.org/officeDocument/2006/relationships/hyperlink" Target="https://pbs.twimg.com/media/Dsb20bDWwAAC9eY.jpg" TargetMode="External"/><Relationship Id="rId83" Type="http://schemas.openxmlformats.org/officeDocument/2006/relationships/hyperlink" Target="https://pbs.twimg.com/media/DsrcOwYWwAELx69.jpg" TargetMode="External"/><Relationship Id="rId179" Type="http://schemas.openxmlformats.org/officeDocument/2006/relationships/hyperlink" Target="https://www.diaribalear.es/la-monarquia-actual-es-simbolo-de-union-desarrollo-y-democracia/" TargetMode="External"/><Relationship Id="rId386" Type="http://schemas.openxmlformats.org/officeDocument/2006/relationships/hyperlink" Target="https://www.facebook.com/EDUCACION.CULTURA.DEPORTES.NOTICIAS" TargetMode="External"/><Relationship Id="rId593" Type="http://schemas.openxmlformats.org/officeDocument/2006/relationships/hyperlink" Target="http://pic.twitter.com/5pa7VJ3xFH" TargetMode="External"/><Relationship Id="rId607" Type="http://schemas.openxmlformats.org/officeDocument/2006/relationships/hyperlink" Target="http://www.ieevalencia.org/" TargetMode="External"/><Relationship Id="rId814" Type="http://schemas.openxmlformats.org/officeDocument/2006/relationships/hyperlink" Target="https://www.larioja.com/la-rioja/201511/22/riojanos-tienen-plantearse-quieren-20151122005510-v.html" TargetMode="External"/><Relationship Id="rId1237" Type="http://schemas.openxmlformats.org/officeDocument/2006/relationships/hyperlink" Target="https://www.instagram.com/p/BqcwTEPgGxI/?utm_source=ig_twitter_share&amp;igshid=687vr37exzi6" TargetMode="External"/><Relationship Id="rId1444" Type="http://schemas.openxmlformats.org/officeDocument/2006/relationships/hyperlink" Target="https://lahoradigital.com/movil/noticia/17583/politica/albert-rivera-incapaz-de-definir-a-vox-como-extrema-derecha.html" TargetMode="External"/><Relationship Id="rId1651" Type="http://schemas.openxmlformats.org/officeDocument/2006/relationships/hyperlink" Target="https://www.librosdelko.com/products/saliendo-de-la-calle-oscura" TargetMode="External"/><Relationship Id="rId1889" Type="http://schemas.openxmlformats.org/officeDocument/2006/relationships/hyperlink" Target="http://bit.ly/2TuSpdG" TargetMode="External"/><Relationship Id="rId2067" Type="http://schemas.openxmlformats.org/officeDocument/2006/relationships/hyperlink" Target="http://pic.twitter.com/au3aDoqDk3" TargetMode="External"/><Relationship Id="rId2274" Type="http://schemas.openxmlformats.org/officeDocument/2006/relationships/hyperlink" Target="http://www.huffingtonpost.es/" TargetMode="External"/><Relationship Id="rId2481" Type="http://schemas.openxmlformats.org/officeDocument/2006/relationships/hyperlink" Target="https://pbs.twimg.com/media/DscGR62WoAAz02S.jpg" TargetMode="External"/><Relationship Id="rId2702" Type="http://schemas.openxmlformats.org/officeDocument/2006/relationships/hyperlink" Target="https://twitter.com/reusdigitalcat/status/1064601443913605121?s=20" TargetMode="External"/><Relationship Id="rId246" Type="http://schemas.openxmlformats.org/officeDocument/2006/relationships/hyperlink" Target="http://pic.twitter.com/1QGupvag0L" TargetMode="External"/><Relationship Id="rId453" Type="http://schemas.openxmlformats.org/officeDocument/2006/relationships/hyperlink" Target="http://bit.ly/2DS0WD8" TargetMode="External"/><Relationship Id="rId660" Type="http://schemas.openxmlformats.org/officeDocument/2006/relationships/hyperlink" Target="https://www.elmundo.es/espana/2018/11/22/5bf6a067e5fdea356f8b4633.html" TargetMode="External"/><Relationship Id="rId898" Type="http://schemas.openxmlformats.org/officeDocument/2006/relationships/hyperlink" Target="http://joansafont.wordpress.com/" TargetMode="External"/><Relationship Id="rId1083" Type="http://schemas.openxmlformats.org/officeDocument/2006/relationships/hyperlink" Target="https://www.publico.es/tremending/2018/11/21/por-que-albert-rivera-no-se-atreve-a-decir-que-vox-es-extrema-derecha-twitter-analiza-los-motivos/" TargetMode="External"/><Relationship Id="rId1290" Type="http://schemas.openxmlformats.org/officeDocument/2006/relationships/hyperlink" Target="http://www.lacerca.com/noticias/espana/borrell-diputado-erc-le-escupido-congreso-partido-niega-445968-1.html" TargetMode="External"/><Relationship Id="rId1304" Type="http://schemas.openxmlformats.org/officeDocument/2006/relationships/hyperlink" Target="http://www.ciudadanos-cs.org/" TargetMode="External"/><Relationship Id="rId1511" Type="http://schemas.openxmlformats.org/officeDocument/2006/relationships/hyperlink" Target="http://pic.twitter.com/5ghv2Is2Vl" TargetMode="External"/><Relationship Id="rId1749" Type="http://schemas.openxmlformats.org/officeDocument/2006/relationships/hyperlink" Target="http://www.enfoquenoticias.com.mx/" TargetMode="External"/><Relationship Id="rId1956" Type="http://schemas.openxmlformats.org/officeDocument/2006/relationships/hyperlink" Target="https://www.facebook.com/GuanyemClot/" TargetMode="External"/><Relationship Id="rId2134" Type="http://schemas.openxmlformats.org/officeDocument/2006/relationships/hyperlink" Target="http://pic.twitter.com/PLGUcMnwkf" TargetMode="External"/><Relationship Id="rId2341" Type="http://schemas.openxmlformats.org/officeDocument/2006/relationships/hyperlink" Target="http://pic.twitter.com/SomNUEKpjX" TargetMode="External"/><Relationship Id="rId2579" Type="http://schemas.openxmlformats.org/officeDocument/2006/relationships/hyperlink" Target="http://a.msn.com/01/es-es/BBPTvWt?ocid=st" TargetMode="External"/><Relationship Id="rId2786" Type="http://schemas.openxmlformats.org/officeDocument/2006/relationships/hyperlink" Target="https://digitalsevilla.com/2018/10/01/fracaso-absoluto-de-un-acto-de-albert-rivera-en-sevilla/" TargetMode="External"/><Relationship Id="rId106" Type="http://schemas.openxmlformats.org/officeDocument/2006/relationships/hyperlink" Target="https://pbs.twimg.com/media/DsrunUxWsAAS50M.jpg" TargetMode="External"/><Relationship Id="rId313" Type="http://schemas.openxmlformats.org/officeDocument/2006/relationships/hyperlink" Target="https://pbs.twimg.com/media/Dsou8kQVYAAy7zu.jpg" TargetMode="External"/><Relationship Id="rId758" Type="http://schemas.openxmlformats.org/officeDocument/2006/relationships/hyperlink" Target="https://pbs.twimg.com/media/DsmlQPYXcAAI3vo.jpg" TargetMode="External"/><Relationship Id="rId965" Type="http://schemas.openxmlformats.org/officeDocument/2006/relationships/hyperlink" Target="https://liverdades.com/" TargetMode="External"/><Relationship Id="rId1150" Type="http://schemas.openxmlformats.org/officeDocument/2006/relationships/hyperlink" Target="https://pbs.twimg.com/media/DsjBOSeXcAEleGh.jpg" TargetMode="External"/><Relationship Id="rId1388" Type="http://schemas.openxmlformats.org/officeDocument/2006/relationships/hyperlink" Target="http://pic.twitter.com/ymDTncJ6xz" TargetMode="External"/><Relationship Id="rId1595" Type="http://schemas.openxmlformats.org/officeDocument/2006/relationships/hyperlink" Target="http://pic.twitter.com/Ukh2a1c2JI" TargetMode="External"/><Relationship Id="rId1609" Type="http://schemas.openxmlformats.org/officeDocument/2006/relationships/hyperlink" Target="https://pbs.twimg.com/media/DshM8bBX4AAUfKo.jpg" TargetMode="External"/><Relationship Id="rId1816" Type="http://schemas.openxmlformats.org/officeDocument/2006/relationships/hyperlink" Target="http://pic.twitter.com/ajx9vTCdi5" TargetMode="External"/><Relationship Id="rId2439" Type="http://schemas.openxmlformats.org/officeDocument/2006/relationships/hyperlink" Target="http://www.ciudadanos-cs.org/" TargetMode="External"/><Relationship Id="rId2646" Type="http://schemas.openxmlformats.org/officeDocument/2006/relationships/hyperlink" Target="http://www.ciudadanos-cs.org/" TargetMode="External"/><Relationship Id="rId10" Type="http://schemas.openxmlformats.org/officeDocument/2006/relationships/hyperlink" Target="https://twitter.com/thefdez/status/1065616746613227521" TargetMode="External"/><Relationship Id="rId94" Type="http://schemas.openxmlformats.org/officeDocument/2006/relationships/hyperlink" Target="http://canarias.ciudadanos-cs.org/" TargetMode="External"/><Relationship Id="rId397" Type="http://schemas.openxmlformats.org/officeDocument/2006/relationships/hyperlink" Target="https://www.elmundo.es/espana/2018/11/22/5bf6a067e5fdea356f8b4633.html" TargetMode="External"/><Relationship Id="rId520" Type="http://schemas.openxmlformats.org/officeDocument/2006/relationships/hyperlink" Target="https://pbs.twimg.com/media/DsnlRaIXQAIkSg8.jpg" TargetMode="External"/><Relationship Id="rId618" Type="http://schemas.openxmlformats.org/officeDocument/2006/relationships/hyperlink" Target="https://www.elmundo.es/espana/2018/11/22/5bf6a067e5fdea356f8b4633.html" TargetMode="External"/><Relationship Id="rId825" Type="http://schemas.openxmlformats.org/officeDocument/2006/relationships/hyperlink" Target="http://pic.twitter.com/XQZYMF3XPc" TargetMode="External"/><Relationship Id="rId1248" Type="http://schemas.openxmlformats.org/officeDocument/2006/relationships/hyperlink" Target="https://pbs.twimg.com/media/DshvpkJX4AEZpod.jpg" TargetMode="External"/><Relationship Id="rId1455" Type="http://schemas.openxmlformats.org/officeDocument/2006/relationships/hyperlink" Target="http://contracobardes.blogspot.com.es/?m=1" TargetMode="External"/><Relationship Id="rId1662" Type="http://schemas.openxmlformats.org/officeDocument/2006/relationships/hyperlink" Target="https://www.cope.es/a/581369" TargetMode="External"/><Relationship Id="rId2078" Type="http://schemas.openxmlformats.org/officeDocument/2006/relationships/hyperlink" Target="https://www.politwoops.com/g/Catalonia" TargetMode="External"/><Relationship Id="rId2201" Type="http://schemas.openxmlformats.org/officeDocument/2006/relationships/hyperlink" Target="http://jovenes.ciudadanos-cs.org/" TargetMode="External"/><Relationship Id="rId2285" Type="http://schemas.openxmlformats.org/officeDocument/2006/relationships/hyperlink" Target="http://www.ciudadanos-cs.org/" TargetMode="External"/><Relationship Id="rId2492" Type="http://schemas.openxmlformats.org/officeDocument/2006/relationships/hyperlink" Target="https://youtu.be/V9YYQDqha-Q?uqf82=7301336258" TargetMode="External"/><Relationship Id="rId2506" Type="http://schemas.openxmlformats.org/officeDocument/2006/relationships/hyperlink" Target="https://www.elnacional.cat/enblau/es/television/susanna-griso-albert-rivera-luis-alfonso-borbon_326550_102.html" TargetMode="External"/><Relationship Id="rId257" Type="http://schemas.openxmlformats.org/officeDocument/2006/relationships/hyperlink" Target="http://www.noticias24horas.com/ue-albert-rivera-presente-una-mocion-de-censura-o-llegue-a-acuerdos-sobre-lo-acordado-psoe-podemos/" TargetMode="External"/><Relationship Id="rId464" Type="http://schemas.openxmlformats.org/officeDocument/2006/relationships/hyperlink" Target="https://mobile.twitter.com/fgbfrancisco" TargetMode="External"/><Relationship Id="rId1010" Type="http://schemas.openxmlformats.org/officeDocument/2006/relationships/hyperlink" Target="https://www.ciudadanos-cs.org/" TargetMode="External"/><Relationship Id="rId1094" Type="http://schemas.openxmlformats.org/officeDocument/2006/relationships/hyperlink" Target="https://www.eldiario.es/_31f65118" TargetMode="External"/><Relationship Id="rId1108" Type="http://schemas.openxmlformats.org/officeDocument/2006/relationships/hyperlink" Target="http://larioja.ciudadanos-cs.org/" TargetMode="External"/><Relationship Id="rId1315" Type="http://schemas.openxmlformats.org/officeDocument/2006/relationships/hyperlink" Target="http://www.pedrocastro.es/" TargetMode="External"/><Relationship Id="rId1967" Type="http://schemas.openxmlformats.org/officeDocument/2006/relationships/hyperlink" Target="http://pic.twitter.com/YyCBcOrJzG" TargetMode="External"/><Relationship Id="rId2145" Type="http://schemas.openxmlformats.org/officeDocument/2006/relationships/hyperlink" Target="https://www.lasexta.com/noticias/nacional/joan-tarda-albert-rivera-es-un-fanatico-que-cada-vez-se-parece-mas-a-primo-de-rivera_201805105af43fcc0cf2a3f6a8c18a74.html" TargetMode="External"/><Relationship Id="rId2713" Type="http://schemas.openxmlformats.org/officeDocument/2006/relationships/hyperlink" Target="https://www.elmundo.es/cataluna/2018/11/20/5bf30ac5468aeb7a7e8b4607.html" TargetMode="External"/><Relationship Id="rId2797" Type="http://schemas.openxmlformats.org/officeDocument/2006/relationships/hyperlink" Target="http://pic.twitter.com/NI45cnjI6a" TargetMode="External"/><Relationship Id="rId117" Type="http://schemas.openxmlformats.org/officeDocument/2006/relationships/hyperlink" Target="http://pic.twitter.com/YHsm6AFECX" TargetMode="External"/><Relationship Id="rId671" Type="http://schemas.openxmlformats.org/officeDocument/2006/relationships/hyperlink" Target="https://www.elmundo.es/espana/2018/11/22/5bf6a067e5fdea356f8b4633.html" TargetMode="External"/><Relationship Id="rId769" Type="http://schemas.openxmlformats.org/officeDocument/2006/relationships/hyperlink" Target="http://fasesdelabolsa.net/" TargetMode="External"/><Relationship Id="rId976" Type="http://schemas.openxmlformats.org/officeDocument/2006/relationships/hyperlink" Target="https://pbs.twimg.com/media/DsjzwxNXgAAuyIb.jpg" TargetMode="External"/><Relationship Id="rId1399" Type="http://schemas.openxmlformats.org/officeDocument/2006/relationships/hyperlink" Target="https://www.publico.es/tremending/2018/11/21/por-que-albert-rivera-no-se-atreve-a-decir-que-vox-es-extrema-derecha-twitter-analiza-los-motivos/" TargetMode="External"/><Relationship Id="rId2352" Type="http://schemas.openxmlformats.org/officeDocument/2006/relationships/hyperlink" Target="http://www.facebook.com/groups/yosoynaranjito" TargetMode="External"/><Relationship Id="rId2657" Type="http://schemas.openxmlformats.org/officeDocument/2006/relationships/hyperlink" Target="https://www.instagram.com/juliangarciaa14/" TargetMode="External"/><Relationship Id="rId324" Type="http://schemas.openxmlformats.org/officeDocument/2006/relationships/hyperlink" Target="http://www.bitmomentum.com/" TargetMode="External"/><Relationship Id="rId531" Type="http://schemas.openxmlformats.org/officeDocument/2006/relationships/hyperlink" Target="https://www.ciudadanos-cs.org/" TargetMode="External"/><Relationship Id="rId629" Type="http://schemas.openxmlformats.org/officeDocument/2006/relationships/hyperlink" Target="http://www.elmundo.es/espana/2018/11/22/5bf6a067e5fdea356f8b4633.html" TargetMode="External"/><Relationship Id="rId1161" Type="http://schemas.openxmlformats.org/officeDocument/2006/relationships/hyperlink" Target="https://pbs.twimg.com/media/Dsh4V7mW0AAD0MV.jpg" TargetMode="External"/><Relationship Id="rId1259" Type="http://schemas.openxmlformats.org/officeDocument/2006/relationships/hyperlink" Target="https://pbs.twimg.com/media/DsieBKVXoAAdVfr.jpg" TargetMode="External"/><Relationship Id="rId1466" Type="http://schemas.openxmlformats.org/officeDocument/2006/relationships/hyperlink" Target="http://twitterhijosdeputasecuestradores.com/" TargetMode="External"/><Relationship Id="rId2005" Type="http://schemas.openxmlformats.org/officeDocument/2006/relationships/hyperlink" Target="https://youtu.be/D62g8svIjSc" TargetMode="External"/><Relationship Id="rId2212" Type="http://schemas.openxmlformats.org/officeDocument/2006/relationships/hyperlink" Target="http://pic.twitter.com/0hg0ots3uO" TargetMode="External"/><Relationship Id="rId836" Type="http://schemas.openxmlformats.org/officeDocument/2006/relationships/hyperlink" Target="http://www.bitmomentum.com/" TargetMode="External"/><Relationship Id="rId1021" Type="http://schemas.openxmlformats.org/officeDocument/2006/relationships/hyperlink" Target="https://www.elindependiente.com/politica/2018/11/20/rivera-exige-disculpas-pp-psoe-pacto-la-verguenza-del-cppg/?utm_source=share_buttons&amp;utm_medium=twitter&amp;utm_campaign=social_share" TargetMode="External"/><Relationship Id="rId1119" Type="http://schemas.openxmlformats.org/officeDocument/2006/relationships/hyperlink" Target="https://twitter.com/ciudadanoscs/status/1064837499728683010" TargetMode="External"/><Relationship Id="rId1673" Type="http://schemas.openxmlformats.org/officeDocument/2006/relationships/hyperlink" Target="https://youtu.be/2j73yFuHcQQ" TargetMode="External"/><Relationship Id="rId1880" Type="http://schemas.openxmlformats.org/officeDocument/2006/relationships/hyperlink" Target="https://youtu.be/D62g8svIjSc" TargetMode="External"/><Relationship Id="rId1978" Type="http://schemas.openxmlformats.org/officeDocument/2006/relationships/hyperlink" Target="https://youtu.be/D62g8svIjSc" TargetMode="External"/><Relationship Id="rId2517" Type="http://schemas.openxmlformats.org/officeDocument/2006/relationships/hyperlink" Target="http://telemd.es/zwua0141741" TargetMode="External"/><Relationship Id="rId2724" Type="http://schemas.openxmlformats.org/officeDocument/2006/relationships/hyperlink" Target="https://twitter.com/sanchezcastejon/status/1064570650428350464" TargetMode="External"/><Relationship Id="rId903" Type="http://schemas.openxmlformats.org/officeDocument/2006/relationships/hyperlink" Target="https://www.elplural.com/politica/albert-rivera-copia-modelo-bus-propagandista-que-critico-a-podemos_206760102" TargetMode="External"/><Relationship Id="rId1326" Type="http://schemas.openxmlformats.org/officeDocument/2006/relationships/hyperlink" Target="https://pbs.twimg.com/media/DshnuY5XQAANFaC.jpg" TargetMode="External"/><Relationship Id="rId1533" Type="http://schemas.openxmlformats.org/officeDocument/2006/relationships/hyperlink" Target="https://www.elplural.com/politica/albert-rivera-extrema-derecha-vox-respuesta-entrevista_206736102" TargetMode="External"/><Relationship Id="rId1740" Type="http://schemas.openxmlformats.org/officeDocument/2006/relationships/hyperlink" Target="https://pbs.twimg.com/media/DsgrFzSUcAAyf_i.jpg" TargetMode="External"/><Relationship Id="rId32" Type="http://schemas.openxmlformats.org/officeDocument/2006/relationships/hyperlink" Target="http://instagram.com/stand89" TargetMode="External"/><Relationship Id="rId1600" Type="http://schemas.openxmlformats.org/officeDocument/2006/relationships/hyperlink" Target="http://www.ciudadanos-cs.org/" TargetMode="External"/><Relationship Id="rId1838" Type="http://schemas.openxmlformats.org/officeDocument/2006/relationships/hyperlink" Target="http://gilbertastico.bandcamp.com/" TargetMode="External"/><Relationship Id="rId181" Type="http://schemas.openxmlformats.org/officeDocument/2006/relationships/hyperlink" Target="https://pbs.twimg.com/media/DsrKmSGW0AAKRBM.jpg" TargetMode="External"/><Relationship Id="rId1905" Type="http://schemas.openxmlformats.org/officeDocument/2006/relationships/hyperlink" Target="https://twitter.com/angelrd/status/1064648213939015682" TargetMode="External"/><Relationship Id="rId279" Type="http://schemas.openxmlformats.org/officeDocument/2006/relationships/hyperlink" Target="https://twitter.com/gabrielrufian/status/1065668592472080385" TargetMode="External"/><Relationship Id="rId486" Type="http://schemas.openxmlformats.org/officeDocument/2006/relationships/hyperlink" Target="https://www.elplural.com/politica/albert-rivera-copia-modelo-bus-propagandista-que-critico-a-podemos_206760102" TargetMode="External"/><Relationship Id="rId693" Type="http://schemas.openxmlformats.org/officeDocument/2006/relationships/hyperlink" Target="http://www.youtube.com/sila661" TargetMode="External"/><Relationship Id="rId2167" Type="http://schemas.openxmlformats.org/officeDocument/2006/relationships/hyperlink" Target="https://www.elmundo.es/espana/2018/11/20/5bf3e474e2704ec6568b4825.html" TargetMode="External"/><Relationship Id="rId2374" Type="http://schemas.openxmlformats.org/officeDocument/2006/relationships/hyperlink" Target="https://pbs.twimg.com/media/DsdTYzVXcAEXpyo.jpg" TargetMode="External"/><Relationship Id="rId2581" Type="http://schemas.openxmlformats.org/officeDocument/2006/relationships/hyperlink" Target="http://www.elmundo.es/espana.html" TargetMode="External"/><Relationship Id="rId139" Type="http://schemas.openxmlformats.org/officeDocument/2006/relationships/hyperlink" Target="https://www.youtube.com/watch?v=ZfItieG57uw" TargetMode="External"/><Relationship Id="rId346" Type="http://schemas.openxmlformats.org/officeDocument/2006/relationships/hyperlink" Target="http://www.noticias24horas.com/ue-albert-rivera-presente-una-mocion-de-censura-o-llegue-a-acuerdos-sobre-lo-acordado-psoe-podemos/" TargetMode="External"/><Relationship Id="rId553" Type="http://schemas.openxmlformats.org/officeDocument/2006/relationships/hyperlink" Target="https://pbs.twimg.com/media/DsnZurnWkAAbwE0.jpg" TargetMode="External"/><Relationship Id="rId760" Type="http://schemas.openxmlformats.org/officeDocument/2006/relationships/hyperlink" Target="http://losmundosdemadeleine.wordpress.com/" TargetMode="External"/><Relationship Id="rId998" Type="http://schemas.openxmlformats.org/officeDocument/2006/relationships/hyperlink" Target="https://www.elplural.com/politica/albert-rivera-extrema-derecha-vox-respuesta-entrevista_206736102" TargetMode="External"/><Relationship Id="rId1183" Type="http://schemas.openxmlformats.org/officeDocument/2006/relationships/hyperlink" Target="https://m.eldiario.es/politica/PP-Ciudadanos-condenar-franquismo-Senado_0_838166777.html" TargetMode="External"/><Relationship Id="rId1390" Type="http://schemas.openxmlformats.org/officeDocument/2006/relationships/hyperlink" Target="http://pic.twitter.com/xRysejupZe" TargetMode="External"/><Relationship Id="rId2027" Type="http://schemas.openxmlformats.org/officeDocument/2006/relationships/hyperlink" Target="https://twitter.com/CiudadanosCs/status/1064926347028557826" TargetMode="External"/><Relationship Id="rId2234" Type="http://schemas.openxmlformats.org/officeDocument/2006/relationships/hyperlink" Target="http://compostela24horas.com/" TargetMode="External"/><Relationship Id="rId2441" Type="http://schemas.openxmlformats.org/officeDocument/2006/relationships/hyperlink" Target="http://www.ciudadanos-cs.org/" TargetMode="External"/><Relationship Id="rId2679" Type="http://schemas.openxmlformats.org/officeDocument/2006/relationships/hyperlink" Target="http://www.larryrunner.com/" TargetMode="External"/><Relationship Id="rId206" Type="http://schemas.openxmlformats.org/officeDocument/2006/relationships/hyperlink" Target="https://www.elmundo.es/espana/2018/11/22/5bf6a067e5fdea356f8b4633.html" TargetMode="External"/><Relationship Id="rId413" Type="http://schemas.openxmlformats.org/officeDocument/2006/relationships/hyperlink" Target="https://www.ciudadanos-cs.org/" TargetMode="External"/><Relationship Id="rId858" Type="http://schemas.openxmlformats.org/officeDocument/2006/relationships/hyperlink" Target="https://pbs.twimg.com/media/Dsl5AhbWsAE9H2r.jpg" TargetMode="External"/><Relationship Id="rId1043" Type="http://schemas.openxmlformats.org/officeDocument/2006/relationships/hyperlink" Target="https://pbs.twimg.com/media/Dsjc0ZUWoAA_1Yr.jpg" TargetMode="External"/><Relationship Id="rId1488" Type="http://schemas.openxmlformats.org/officeDocument/2006/relationships/hyperlink" Target="http://www.telemadrid.es/" TargetMode="External"/><Relationship Id="rId1695" Type="http://schemas.openxmlformats.org/officeDocument/2006/relationships/hyperlink" Target="http://ohbartle-chuga-by.blogspot.com.es/" TargetMode="External"/><Relationship Id="rId2539" Type="http://schemas.openxmlformats.org/officeDocument/2006/relationships/hyperlink" Target="http://www.lanzadigital.com/" TargetMode="External"/><Relationship Id="rId2746" Type="http://schemas.openxmlformats.org/officeDocument/2006/relationships/hyperlink" Target="https://www.laopinioncoruna.es/" TargetMode="External"/><Relationship Id="rId620" Type="http://schemas.openxmlformats.org/officeDocument/2006/relationships/hyperlink" Target="http://pic.twitter.com/yLc7NSz8qW" TargetMode="External"/><Relationship Id="rId718" Type="http://schemas.openxmlformats.org/officeDocument/2006/relationships/hyperlink" Target="https://www.elperiodico.com/es/politica/20181122/albert-rivera-2017-montar-autobus-no-es-hacer-oposicion-7161584?utm_source=twitter&amp;utm_medium=social" TargetMode="External"/><Relationship Id="rId925" Type="http://schemas.openxmlformats.org/officeDocument/2006/relationships/hyperlink" Target="http://pic.twitter.com/5YYmKILYtt" TargetMode="External"/><Relationship Id="rId1250" Type="http://schemas.openxmlformats.org/officeDocument/2006/relationships/hyperlink" Target="https://pbs.twimg.com/media/DscP8mxWoAE_lk8.jpg" TargetMode="External"/><Relationship Id="rId1348" Type="http://schemas.openxmlformats.org/officeDocument/2006/relationships/hyperlink" Target="https://www.publico.es/tremending/2018/11/21/por-que-albert-rivera-no-se-atreve-a-decir-que-vox-es-extrema-derecha-twitter-analiza-los-motivos/?utm_source=twitter&amp;utm_medium=social&amp;utm_campaign=tremending" TargetMode="External"/><Relationship Id="rId1555" Type="http://schemas.openxmlformats.org/officeDocument/2006/relationships/hyperlink" Target="http://www.caongd.org/" TargetMode="External"/><Relationship Id="rId1762" Type="http://schemas.openxmlformats.org/officeDocument/2006/relationships/hyperlink" Target="https://pbs.twimg.com/media/DsgmTGAX4AAYMKr.jpg" TargetMode="External"/><Relationship Id="rId2301" Type="http://schemas.openxmlformats.org/officeDocument/2006/relationships/hyperlink" Target="http://pic.twitter.com/DDGgD5i3R0" TargetMode="External"/><Relationship Id="rId2606" Type="http://schemas.openxmlformats.org/officeDocument/2006/relationships/hyperlink" Target="https://www.eldigitalcastillalamancha.es/actualidad/824864035/Contundente-respuesta-de-Abalos-a-Page-por-el-guino-que-hizo-a-Albert-Rivera.html" TargetMode="External"/><Relationship Id="rId1110" Type="http://schemas.openxmlformats.org/officeDocument/2006/relationships/hyperlink" Target="http://losfosfonautas.blogspot.com.es/" TargetMode="External"/><Relationship Id="rId1208" Type="http://schemas.openxmlformats.org/officeDocument/2006/relationships/hyperlink" Target="http://atres.red/ufjdh2" TargetMode="External"/><Relationship Id="rId1415" Type="http://schemas.openxmlformats.org/officeDocument/2006/relationships/hyperlink" Target="https://amp.elperiodico.com/es/politica/20181121/senado-votacion-mocion-condena-franquismo-7159453" TargetMode="External"/><Relationship Id="rId54" Type="http://schemas.openxmlformats.org/officeDocument/2006/relationships/hyperlink" Target="http://pic.twitter.com/2OtxxsKbSE" TargetMode="External"/><Relationship Id="rId1622" Type="http://schemas.openxmlformats.org/officeDocument/2006/relationships/hyperlink" Target="http://guillemcarles.blogspot.com/" TargetMode="External"/><Relationship Id="rId1927" Type="http://schemas.openxmlformats.org/officeDocument/2006/relationships/hyperlink" Target="https://pbs.twimg.com/media/Dseh8erXoAIDmzh.jpg" TargetMode="External"/><Relationship Id="rId2091" Type="http://schemas.openxmlformats.org/officeDocument/2006/relationships/hyperlink" Target="http://pic.twitter.com/uFi9vTiMl1" TargetMode="External"/><Relationship Id="rId2189" Type="http://schemas.openxmlformats.org/officeDocument/2006/relationships/hyperlink" Target="http://pic.twitter.com/Ti6CU3H4Ux" TargetMode="External"/><Relationship Id="rId270" Type="http://schemas.openxmlformats.org/officeDocument/2006/relationships/hyperlink" Target="http://pic.twitter.com/1hrNJonzsH" TargetMode="External"/><Relationship Id="rId2396" Type="http://schemas.openxmlformats.org/officeDocument/2006/relationships/hyperlink" Target="https://pbs.twimg.com/media/DsdKq-sX4AAazqV.jpg" TargetMode="External"/><Relationship Id="rId130" Type="http://schemas.openxmlformats.org/officeDocument/2006/relationships/hyperlink" Target="https://blogs.publico.es/econonuestra/2018/11/23/manila-ciudad-de-albert-rivera/" TargetMode="External"/><Relationship Id="rId368" Type="http://schemas.openxmlformats.org/officeDocument/2006/relationships/hyperlink" Target="https://www.elmundo.es/espana/2018/11/22/5bf6a067e5fdea356f8b4633.html" TargetMode="External"/><Relationship Id="rId575" Type="http://schemas.openxmlformats.org/officeDocument/2006/relationships/hyperlink" Target="https://www.elmundo.es/espana/2018/11/22/5bf6a067e5fdea356f8b4633.html" TargetMode="External"/><Relationship Id="rId782" Type="http://schemas.openxmlformats.org/officeDocument/2006/relationships/hyperlink" Target="http://nuevarevolucion.es/firmas/daniel-seijo/" TargetMode="External"/><Relationship Id="rId2049" Type="http://schemas.openxmlformats.org/officeDocument/2006/relationships/hyperlink" Target="http://www.bitmomentum.com/" TargetMode="External"/><Relationship Id="rId2256" Type="http://schemas.openxmlformats.org/officeDocument/2006/relationships/hyperlink" Target="https://www.ciudadanos-cs.org/" TargetMode="External"/><Relationship Id="rId2463" Type="http://schemas.openxmlformats.org/officeDocument/2006/relationships/hyperlink" Target="https://twitter.com/T5Comento/status/1064504424406622210" TargetMode="External"/><Relationship Id="rId2670" Type="http://schemas.openxmlformats.org/officeDocument/2006/relationships/hyperlink" Target="http://www.antena3.com/espejopublico" TargetMode="External"/><Relationship Id="rId228" Type="http://schemas.openxmlformats.org/officeDocument/2006/relationships/hyperlink" Target="https://www.elnacional.cat/es/politica/albert-rivera-acusa-independentistas-escupir-espana_327351_102.html" TargetMode="External"/><Relationship Id="rId435" Type="http://schemas.openxmlformats.org/officeDocument/2006/relationships/hyperlink" Target="https://www.youtube.com/attribution_link?a=OHPfYQkRn5o&amp;u=%2Fwatch%3Fv%3DVn5QOJG3_SM%26feature%3Dshare" TargetMode="External"/><Relationship Id="rId642" Type="http://schemas.openxmlformats.org/officeDocument/2006/relationships/hyperlink" Target="https://esportvidasaludable.blogspot.com.es/" TargetMode="External"/><Relationship Id="rId1065" Type="http://schemas.openxmlformats.org/officeDocument/2006/relationships/hyperlink" Target="https://pbs.twimg.com/media/DsjXDo6WkAEXo4d.jpg" TargetMode="External"/><Relationship Id="rId1272" Type="http://schemas.openxmlformats.org/officeDocument/2006/relationships/hyperlink" Target="http://youtu.be/4IGIojICqOw?a" TargetMode="External"/><Relationship Id="rId2116" Type="http://schemas.openxmlformats.org/officeDocument/2006/relationships/hyperlink" Target="https://pbs.twimg.com/media/DseBCxXU0AAHZoL.jpg" TargetMode="External"/><Relationship Id="rId2323" Type="http://schemas.openxmlformats.org/officeDocument/2006/relationships/hyperlink" Target="http://cortes-valencianas.ciudadanos-cs.org/" TargetMode="External"/><Relationship Id="rId2530" Type="http://schemas.openxmlformats.org/officeDocument/2006/relationships/hyperlink" Target="https://pbs.twimg.com/media/DsccrdFU8AE6CE3.jpg" TargetMode="External"/><Relationship Id="rId2768" Type="http://schemas.openxmlformats.org/officeDocument/2006/relationships/hyperlink" Target="https://www.abc.es/espana/abci-lector-abc-propone-denominacion-real-para-ejercitos-espanoles-201811190256_noticia.html" TargetMode="External"/><Relationship Id="rId502" Type="http://schemas.openxmlformats.org/officeDocument/2006/relationships/hyperlink" Target="https://www.europapress.es/sociedad/noticia-congreso-aprueba-reforma-endurece-penas-imprudencias-volante-20181122164544.html" TargetMode="External"/><Relationship Id="rId947" Type="http://schemas.openxmlformats.org/officeDocument/2006/relationships/hyperlink" Target="https://twitter.com/MichelPesquera/status/1065241714980519936" TargetMode="External"/><Relationship Id="rId1132" Type="http://schemas.openxmlformats.org/officeDocument/2006/relationships/hyperlink" Target="http://instagram.com/consu_gf" TargetMode="External"/><Relationship Id="rId1577" Type="http://schemas.openxmlformats.org/officeDocument/2006/relationships/hyperlink" Target="https://www.elplural.com/politica/albert-rivera-extrema-derecha-vox-respuesta-entrevista_206736102" TargetMode="External"/><Relationship Id="rId1784" Type="http://schemas.openxmlformats.org/officeDocument/2006/relationships/hyperlink" Target="http://www.bitmomentum.com/" TargetMode="External"/><Relationship Id="rId1991" Type="http://schemas.openxmlformats.org/officeDocument/2006/relationships/hyperlink" Target="https://www.ciudadanos-cs.org/" TargetMode="External"/><Relationship Id="rId2628" Type="http://schemas.openxmlformats.org/officeDocument/2006/relationships/hyperlink" Target="https://pbs.twimg.com/media/Dsb4hSVV4AAJAv6.jpg" TargetMode="External"/><Relationship Id="rId76" Type="http://schemas.openxmlformats.org/officeDocument/2006/relationships/hyperlink" Target="https://pbs.twimg.com/media/Dsr71eRWsAAQ9Fd.jpg" TargetMode="External"/><Relationship Id="rId807" Type="http://schemas.openxmlformats.org/officeDocument/2006/relationships/hyperlink" Target="https://www.elespanol.com/" TargetMode="External"/><Relationship Id="rId1437" Type="http://schemas.openxmlformats.org/officeDocument/2006/relationships/hyperlink" Target="http://www.linkedin.com/in/laura-fernandez-diaz" TargetMode="External"/><Relationship Id="rId1644" Type="http://schemas.openxmlformats.org/officeDocument/2006/relationships/hyperlink" Target="http://www.lacerca.com/noticias/espana/rivera-sanchez-le-irpf-mayoria-politica-cambio-indultos-445835-1.html" TargetMode="External"/><Relationship Id="rId1851" Type="http://schemas.openxmlformats.org/officeDocument/2006/relationships/hyperlink" Target="https://twitter.com/CiudadanosCs/status/1064940088742825984" TargetMode="External"/><Relationship Id="rId1504" Type="http://schemas.openxmlformats.org/officeDocument/2006/relationships/hyperlink" Target="http://www.cuadernostm.com/blog/las-cartas-boca-arriba/" TargetMode="External"/><Relationship Id="rId1711" Type="http://schemas.openxmlformats.org/officeDocument/2006/relationships/hyperlink" Target="https://youtu.be/EdsKYzBU54g" TargetMode="External"/><Relationship Id="rId1949" Type="http://schemas.openxmlformats.org/officeDocument/2006/relationships/hyperlink" Target="https://pbs.twimg.com/media/DsebwNkXQAYc1Bc.jpg" TargetMode="External"/><Relationship Id="rId292" Type="http://schemas.openxmlformats.org/officeDocument/2006/relationships/hyperlink" Target="https://www.youtube.com/watch?v=IZfcG0rPxrs" TargetMode="External"/><Relationship Id="rId1809" Type="http://schemas.openxmlformats.org/officeDocument/2006/relationships/hyperlink" Target="https://youtu.be/Rj-R7Ex9YKE" TargetMode="External"/><Relationship Id="rId597" Type="http://schemas.openxmlformats.org/officeDocument/2006/relationships/hyperlink" Target="http://es.linkedin.com/in/davidvaquero" TargetMode="External"/><Relationship Id="rId2180" Type="http://schemas.openxmlformats.org/officeDocument/2006/relationships/hyperlink" Target="https://www.facebook.com/JDescane/" TargetMode="External"/><Relationship Id="rId2278" Type="http://schemas.openxmlformats.org/officeDocument/2006/relationships/hyperlink" Target="https://pbs.twimg.com/media/Dsdta2mW0AIlagJ.jpg" TargetMode="External"/><Relationship Id="rId2485" Type="http://schemas.openxmlformats.org/officeDocument/2006/relationships/hyperlink" Target="https://twitter.com/AsociacionMSPE/status/1064843300983599104" TargetMode="External"/><Relationship Id="rId152" Type="http://schemas.openxmlformats.org/officeDocument/2006/relationships/hyperlink" Target="http://pic.twitter.com/huVtSVJL5p" TargetMode="External"/><Relationship Id="rId457" Type="http://schemas.openxmlformats.org/officeDocument/2006/relationships/hyperlink" Target="https://www.larioja.com/la-rioja/sanchez-viajo-boda-20181106205854-nt.html" TargetMode="External"/><Relationship Id="rId1087" Type="http://schemas.openxmlformats.org/officeDocument/2006/relationships/hyperlink" Target="https://pbs.twimg.com/media/Dsh4V7mW0AAD0MV.jpg" TargetMode="External"/><Relationship Id="rId1294" Type="http://schemas.openxmlformats.org/officeDocument/2006/relationships/hyperlink" Target="https://www.elboletin.com/noticia/169448/nacional/rivera-evita-calificar-a-vox-como-ultraderecha:-no-soy-un-analista-politico.html" TargetMode="External"/><Relationship Id="rId2040" Type="http://schemas.openxmlformats.org/officeDocument/2006/relationships/hyperlink" Target="https://okdiario.com/espana/2018/11/20/sanchez-gasta-cerca-millon-euros-poner-punto-luz-calefaccion-moncloa-3372360?utm_campaign=ok&amp;utm_medium=Social&amp;utm_source=Facebook" TargetMode="External"/><Relationship Id="rId2138" Type="http://schemas.openxmlformats.org/officeDocument/2006/relationships/hyperlink" Target="http://pic.twitter.com/CQFmkhKRxV" TargetMode="External"/><Relationship Id="rId2692" Type="http://schemas.openxmlformats.org/officeDocument/2006/relationships/hyperlink" Target="https://www.elmundo.es/cataluna/2018/11/20/5bf30ac5468aeb7a7e8b4607.html" TargetMode="External"/><Relationship Id="rId664" Type="http://schemas.openxmlformats.org/officeDocument/2006/relationships/hyperlink" Target="https://pbs.twimg.com/media/Dsm99oBXQAE1K8J.jpg" TargetMode="External"/><Relationship Id="rId871" Type="http://schemas.openxmlformats.org/officeDocument/2006/relationships/hyperlink" Target="http://pic.twitter.com/8ce98B7Kt2" TargetMode="External"/><Relationship Id="rId969" Type="http://schemas.openxmlformats.org/officeDocument/2006/relationships/hyperlink" Target="https://pbs.twimg.com/media/Dsj28eUWoAAeXSz.jpg" TargetMode="External"/><Relationship Id="rId1599" Type="http://schemas.openxmlformats.org/officeDocument/2006/relationships/hyperlink" Target="http://pic.twitter.com/H42k6gG171" TargetMode="External"/><Relationship Id="rId2345" Type="http://schemas.openxmlformats.org/officeDocument/2006/relationships/hyperlink" Target="http://castillalamancha.ciudadanos-cs.org/" TargetMode="External"/><Relationship Id="rId2552" Type="http://schemas.openxmlformats.org/officeDocument/2006/relationships/hyperlink" Target="https://www.telecinco.es/elprogramadeanarosa/entrevistas/albert-rivera-apoyare-pp-psoe-si-son-capaces-conseguir-abstencion-otro-grupo-grande_0_2119425044.html" TargetMode="External"/><Relationship Id="rId317" Type="http://schemas.openxmlformats.org/officeDocument/2006/relationships/hyperlink" Target="http://www.bitmomentum.com/" TargetMode="External"/><Relationship Id="rId524" Type="http://schemas.openxmlformats.org/officeDocument/2006/relationships/hyperlink" Target="http://larioja.ciudadanos-cs.org/" TargetMode="External"/><Relationship Id="rId731" Type="http://schemas.openxmlformats.org/officeDocument/2006/relationships/hyperlink" Target="https://pbs.twimg.com/media/DsmxqXRXcAASsZ-.jpg" TargetMode="External"/><Relationship Id="rId1154" Type="http://schemas.openxmlformats.org/officeDocument/2006/relationships/hyperlink" Target="http://elrincndedonnadie.blogspot.com/" TargetMode="External"/><Relationship Id="rId1361" Type="http://schemas.openxmlformats.org/officeDocument/2006/relationships/hyperlink" Target="http://pic.twitter.com/EKWNnffGbo" TargetMode="External"/><Relationship Id="rId1459" Type="http://schemas.openxmlformats.org/officeDocument/2006/relationships/hyperlink" Target="https://pbs.twimg.com/media/DshvpkJX4AEZpod.jpg" TargetMode="External"/><Relationship Id="rId2205" Type="http://schemas.openxmlformats.org/officeDocument/2006/relationships/hyperlink" Target="https://www.blogger.com/blogger.g?blogID=8333473903934007604" TargetMode="External"/><Relationship Id="rId2412" Type="http://schemas.openxmlformats.org/officeDocument/2006/relationships/hyperlink" Target="http://t.me/jesusdelacruzoliva" TargetMode="External"/><Relationship Id="rId98" Type="http://schemas.openxmlformats.org/officeDocument/2006/relationships/hyperlink" Target="https://elpais.com/politica/2018/11/22/actualidad/1542911598_654135.html?id_externo_rsoc=TW_CC" TargetMode="External"/><Relationship Id="rId829" Type="http://schemas.openxmlformats.org/officeDocument/2006/relationships/hyperlink" Target="https://www.laopinion.es/nacional/2018/11/21/rivera-censura-purga-edmundo-bal/930192.html" TargetMode="External"/><Relationship Id="rId1014" Type="http://schemas.openxmlformats.org/officeDocument/2006/relationships/hyperlink" Target="https://pbs.twimg.com/media/DsjlIrSWkAEXGwo.jpg" TargetMode="External"/><Relationship Id="rId1221" Type="http://schemas.openxmlformats.org/officeDocument/2006/relationships/hyperlink" Target="https://pbs.twimg.com/media/DsikR0LW0AA_Oec.jpg" TargetMode="External"/><Relationship Id="rId1666" Type="http://schemas.openxmlformats.org/officeDocument/2006/relationships/hyperlink" Target="https://pbs.twimg.com/media/Dsg-S7oW0AAuF6_.jpg" TargetMode="External"/><Relationship Id="rId1873" Type="http://schemas.openxmlformats.org/officeDocument/2006/relationships/hyperlink" Target="https://www.huffingtonpost.es/2018/11/20/la-respuesta-de-atresmedia-a-albert-rivera-por-lo-que-ha-dicho-sobre-la-casa-de-papel_a_23594976/" TargetMode="External"/><Relationship Id="rId2717" Type="http://schemas.openxmlformats.org/officeDocument/2006/relationships/hyperlink" Target="https://www.elmundo.es/cataluna/2018/11/20/5bf30ac5468aeb7a7e8b4607.html" TargetMode="External"/><Relationship Id="rId1319" Type="http://schemas.openxmlformats.org/officeDocument/2006/relationships/hyperlink" Target="https://pbs.twimg.com/media/DsgwGuqU8AEeA9d.jpg" TargetMode="External"/><Relationship Id="rId1526" Type="http://schemas.openxmlformats.org/officeDocument/2006/relationships/hyperlink" Target="https://www.linkedin.com/in/diegosadelantado/" TargetMode="External"/><Relationship Id="rId1733" Type="http://schemas.openxmlformats.org/officeDocument/2006/relationships/hyperlink" Target="http://saladinu.blogspot.com/" TargetMode="External"/><Relationship Id="rId1940" Type="http://schemas.openxmlformats.org/officeDocument/2006/relationships/hyperlink" Target="https://www.instagram.com/el_cunadometro/" TargetMode="External"/><Relationship Id="rId25" Type="http://schemas.openxmlformats.org/officeDocument/2006/relationships/hyperlink" Target="https://pbs.twimg.com/media/DsscXgWXgAAF04M.jpg" TargetMode="External"/><Relationship Id="rId1800" Type="http://schemas.openxmlformats.org/officeDocument/2006/relationships/hyperlink" Target="http://www.bitmomentum.com/" TargetMode="External"/><Relationship Id="rId174" Type="http://schemas.openxmlformats.org/officeDocument/2006/relationships/hyperlink" Target="https://pbs.twimg.com/media/DsrOTbcXQAEZnj1.jpg" TargetMode="External"/><Relationship Id="rId381" Type="http://schemas.openxmlformats.org/officeDocument/2006/relationships/hyperlink" Target="https://t.co/j4f70JDuUn" TargetMode="External"/><Relationship Id="rId2062" Type="http://schemas.openxmlformats.org/officeDocument/2006/relationships/hyperlink" Target="http://pic.twitter.com/amwP3yHPhF" TargetMode="External"/><Relationship Id="rId241" Type="http://schemas.openxmlformats.org/officeDocument/2006/relationships/hyperlink" Target="https://pbs.twimg.com/media/DsnB9OYWkAAieXr.jpg" TargetMode="External"/><Relationship Id="rId479" Type="http://schemas.openxmlformats.org/officeDocument/2006/relationships/hyperlink" Target="http://www.bitmomentum.com/" TargetMode="External"/><Relationship Id="rId686" Type="http://schemas.openxmlformats.org/officeDocument/2006/relationships/hyperlink" Target="https://www.elmundo.es/espana/2018/11/22/5bf6a067e5fdea356f8b4633.html" TargetMode="External"/><Relationship Id="rId893" Type="http://schemas.openxmlformats.org/officeDocument/2006/relationships/hyperlink" Target="http://antonyasantyago.blogspot.com/" TargetMode="External"/><Relationship Id="rId2367" Type="http://schemas.openxmlformats.org/officeDocument/2006/relationships/hyperlink" Target="https://www.eldiario.es/politica/Abalos-responde-Page-Rivera-PSOE_0_837816420.html" TargetMode="External"/><Relationship Id="rId2574" Type="http://schemas.openxmlformats.org/officeDocument/2006/relationships/hyperlink" Target="https://www.huffingtonpost.es/2018/11/16/la-bofetada-verbal-de-risto-mejide-a-albert-rivera-gracias-por-la-difusion_a_23591455/" TargetMode="External"/><Relationship Id="rId2781" Type="http://schemas.openxmlformats.org/officeDocument/2006/relationships/hyperlink" Target="https://twitter.com/crivasreina/status/1064648739720175616" TargetMode="External"/><Relationship Id="rId339" Type="http://schemas.openxmlformats.org/officeDocument/2006/relationships/hyperlink" Target="https://youtu.be/_pBEKVboZqY" TargetMode="External"/><Relationship Id="rId546" Type="http://schemas.openxmlformats.org/officeDocument/2006/relationships/hyperlink" Target="http://www.joseplluisdomenech.cat/" TargetMode="External"/><Relationship Id="rId753" Type="http://schemas.openxmlformats.org/officeDocument/2006/relationships/hyperlink" Target="https://youtu.be/cN0IuqgC3N8" TargetMode="External"/><Relationship Id="rId1176" Type="http://schemas.openxmlformats.org/officeDocument/2006/relationships/hyperlink" Target="http://elgranangular.wordpress.com/" TargetMode="External"/><Relationship Id="rId1383" Type="http://schemas.openxmlformats.org/officeDocument/2006/relationships/hyperlink" Target="https://pbs.twimg.com/media/DsgwGuqU8AEeA9d.jpg" TargetMode="External"/><Relationship Id="rId2227" Type="http://schemas.openxmlformats.org/officeDocument/2006/relationships/hyperlink" Target="https://pbs.twimg.com/media/DsdzjOdWsAMscc7.jpg" TargetMode="External"/><Relationship Id="rId2434" Type="http://schemas.openxmlformats.org/officeDocument/2006/relationships/hyperlink" Target="http://cantabria.ciudadanos-cs.org/" TargetMode="External"/><Relationship Id="rId101" Type="http://schemas.openxmlformats.org/officeDocument/2006/relationships/hyperlink" Target="https://www.elplural.com/politica/albert-rivera-copia-modelo-bus-propagandista-que-critico-a-podemos_206760102" TargetMode="External"/><Relationship Id="rId406" Type="http://schemas.openxmlformats.org/officeDocument/2006/relationships/hyperlink" Target="http://www.carlosdiazdominguez.com/" TargetMode="External"/><Relationship Id="rId960" Type="http://schemas.openxmlformats.org/officeDocument/2006/relationships/hyperlink" Target="http://www.digo-yo.es/author/esparroqui/" TargetMode="External"/><Relationship Id="rId1036" Type="http://schemas.openxmlformats.org/officeDocument/2006/relationships/hyperlink" Target="http://pic.twitter.com/cykhgVGqVg" TargetMode="External"/><Relationship Id="rId1243" Type="http://schemas.openxmlformats.org/officeDocument/2006/relationships/hyperlink" Target="https://pbs.twimg.com/media/DsijquTWoAATw6_.jpg" TargetMode="External"/><Relationship Id="rId1590" Type="http://schemas.openxmlformats.org/officeDocument/2006/relationships/hyperlink" Target="http://pic.twitter.com/Mn9FuyBAF7" TargetMode="External"/><Relationship Id="rId1688" Type="http://schemas.openxmlformats.org/officeDocument/2006/relationships/hyperlink" Target="https://www.abc.es/sociedad/abci-generalitat-reconoce-nunca-tenido-intencion-cambiar-modelo-linguistico-aulas-201811210253_noticia.html" TargetMode="External"/><Relationship Id="rId1895" Type="http://schemas.openxmlformats.org/officeDocument/2006/relationships/hyperlink" Target="https://bit.ly/2Fw2zYw" TargetMode="External"/><Relationship Id="rId2641" Type="http://schemas.openxmlformats.org/officeDocument/2006/relationships/hyperlink" Target="http://www.ciudadanos-cs.org/" TargetMode="External"/><Relationship Id="rId2739" Type="http://schemas.openxmlformats.org/officeDocument/2006/relationships/hyperlink" Target="https://twitter.com/raymacaricatura/status/1064573447215419393" TargetMode="External"/><Relationship Id="rId613" Type="http://schemas.openxmlformats.org/officeDocument/2006/relationships/hyperlink" Target="https://www.publico.es/tremending/2018/11/21/por-que-albert-rivera-no-se-atreve-a-decir-que-vox-es-extrema-derecha-twitter-analiza-los-motivos/?utm_source=twitter&amp;utm_medium=social&amp;utm_campaign=tremending" TargetMode="External"/><Relationship Id="rId820" Type="http://schemas.openxmlformats.org/officeDocument/2006/relationships/hyperlink" Target="http://www.ciudadanos-cs.org/" TargetMode="External"/><Relationship Id="rId918" Type="http://schemas.openxmlformats.org/officeDocument/2006/relationships/hyperlink" Target="https://twitter.com/steve_hanke/status/1065304838249029633" TargetMode="External"/><Relationship Id="rId1450" Type="http://schemas.openxmlformats.org/officeDocument/2006/relationships/hyperlink" Target="http://www.elnacional.cat/es/" TargetMode="External"/><Relationship Id="rId1548" Type="http://schemas.openxmlformats.org/officeDocument/2006/relationships/hyperlink" Target="https://www.huffingtonpost.es/2018/11/20/la-respuesta-de-atresmedia-a-albert-rivera-por-lo-que-ha-dicho-sobre-la-casa-de-papel_a_23594976/?ncid=other_twitter_cooo9wqtham&amp;utm_campaign=share_twitter" TargetMode="External"/><Relationship Id="rId1755" Type="http://schemas.openxmlformats.org/officeDocument/2006/relationships/hyperlink" Target="https://pbs.twimg.com/media/DsgsL-dU4AAGP1o.jpg" TargetMode="External"/><Relationship Id="rId2501" Type="http://schemas.openxmlformats.org/officeDocument/2006/relationships/hyperlink" Target="https://www.huffingtonpost.es/2018/11/20/albert-rivera-responde-en-espejo-publico-antena-3-al-calificativo-que-le-dedico-teresa-rodriguez-que-original_a_23594456/" TargetMode="External"/><Relationship Id="rId1103" Type="http://schemas.openxmlformats.org/officeDocument/2006/relationships/hyperlink" Target="https://www.publico.es/tremending/2018/10/09/erase-una-vez-santi-abascal-y-albert-rivera-viviendo-una-historia-de-amor-en-el-gato-al-agua/" TargetMode="External"/><Relationship Id="rId1310" Type="http://schemas.openxmlformats.org/officeDocument/2006/relationships/hyperlink" Target="https://www.youtube.com/watch?v=nyKcBUxQ7Ww&amp;feature=share" TargetMode="External"/><Relationship Id="rId1408" Type="http://schemas.openxmlformats.org/officeDocument/2006/relationships/hyperlink" Target="https://goo.gl/7eQaCN?nbz57=7597013338" TargetMode="External"/><Relationship Id="rId1962" Type="http://schemas.openxmlformats.org/officeDocument/2006/relationships/hyperlink" Target="http://pic.twitter.com/GbJcFOkj42" TargetMode="External"/><Relationship Id="rId2806" Type="http://schemas.openxmlformats.org/officeDocument/2006/relationships/hyperlink" Target="http://ignaciohenares.blogspot.com/" TargetMode="External"/><Relationship Id="rId47" Type="http://schemas.openxmlformats.org/officeDocument/2006/relationships/hyperlink" Target="http://www.ciudadanos-cs.org/" TargetMode="External"/><Relationship Id="rId1615" Type="http://schemas.openxmlformats.org/officeDocument/2006/relationships/hyperlink" Target="http://www.bitmomentum.com/" TargetMode="External"/><Relationship Id="rId1822" Type="http://schemas.openxmlformats.org/officeDocument/2006/relationships/hyperlink" Target="https://goo.gl/vVkE2n?qgb95=4698132922" TargetMode="External"/><Relationship Id="rId196" Type="http://schemas.openxmlformats.org/officeDocument/2006/relationships/hyperlink" Target="https://www.elmundo.es/espana/2018/11/22/5bf6a067e5fdea356f8b4633.html" TargetMode="External"/><Relationship Id="rId2084" Type="http://schemas.openxmlformats.org/officeDocument/2006/relationships/hyperlink" Target="http://pic.twitter.com/UysitDTOxU" TargetMode="External"/><Relationship Id="rId2291" Type="http://schemas.openxmlformats.org/officeDocument/2006/relationships/hyperlink" Target="http://pic.twitter.com/tNRP6vLkjm" TargetMode="External"/><Relationship Id="rId263" Type="http://schemas.openxmlformats.org/officeDocument/2006/relationships/hyperlink" Target="http://www.elnacional.cat/es/" TargetMode="External"/><Relationship Id="rId470" Type="http://schemas.openxmlformats.org/officeDocument/2006/relationships/hyperlink" Target="http://larioja.ciudadanos-cs.org/" TargetMode="External"/><Relationship Id="rId2151" Type="http://schemas.openxmlformats.org/officeDocument/2006/relationships/hyperlink" Target="https://www.youtube.com/channel/UCzAeV22GnQxwUBokDOEyb4A" TargetMode="External"/><Relationship Id="rId2389" Type="http://schemas.openxmlformats.org/officeDocument/2006/relationships/hyperlink" Target="https://www.elindependiente.com/politica/2018/11/20/rivera-exige-disculpas-pp-psoe-pacto-la-verguenza-del-cppg/" TargetMode="External"/><Relationship Id="rId2596" Type="http://schemas.openxmlformats.org/officeDocument/2006/relationships/hyperlink" Target="https://radiocorazonvalencianoticias.blogspot.com/2018/11/justicia-albert-rivera-pide-sanchez-y.html?spref=tw" TargetMode="External"/><Relationship Id="rId123" Type="http://schemas.openxmlformats.org/officeDocument/2006/relationships/hyperlink" Target="http://canarias.ciudadanos-cs.org/" TargetMode="External"/><Relationship Id="rId330" Type="http://schemas.openxmlformats.org/officeDocument/2006/relationships/hyperlink" Target="http://cadenaser.com/emisora/2018/11/18/radio_cadiz/1542546020_464502.html" TargetMode="External"/><Relationship Id="rId568" Type="http://schemas.openxmlformats.org/officeDocument/2006/relationships/hyperlink" Target="http://www.pspv-psoevalencia.org/" TargetMode="External"/><Relationship Id="rId775" Type="http://schemas.openxmlformats.org/officeDocument/2006/relationships/hyperlink" Target="https://www.facebook.com/jonathanmc1996/" TargetMode="External"/><Relationship Id="rId982" Type="http://schemas.openxmlformats.org/officeDocument/2006/relationships/hyperlink" Target="https://www.elmundo.es/espana/2018/11/21/5bf53f8b268e3e0a5a8b465c.html" TargetMode="External"/><Relationship Id="rId1198" Type="http://schemas.openxmlformats.org/officeDocument/2006/relationships/hyperlink" Target="http://cadenaser.com/emisora/2018/11/18/radio_cadiz/1542546020_464502.html" TargetMode="External"/><Relationship Id="rId2011" Type="http://schemas.openxmlformats.org/officeDocument/2006/relationships/hyperlink" Target="http://canarias.ciudadanos-cs.org/" TargetMode="External"/><Relationship Id="rId2249" Type="http://schemas.openxmlformats.org/officeDocument/2006/relationships/hyperlink" Target="http://pic.twitter.com/wDOkUFHfpf" TargetMode="External"/><Relationship Id="rId2456" Type="http://schemas.openxmlformats.org/officeDocument/2006/relationships/hyperlink" Target="https://pbs.twimg.com/media/DscvjRBW0AETemI.jpg" TargetMode="External"/><Relationship Id="rId2663" Type="http://schemas.openxmlformats.org/officeDocument/2006/relationships/hyperlink" Target="http://rosamariaartal.wordpress.com/" TargetMode="External"/><Relationship Id="rId428" Type="http://schemas.openxmlformats.org/officeDocument/2006/relationships/hyperlink" Target="https://youtu.be/V9YYQDqha-Q?fcj79=7524358067" TargetMode="External"/><Relationship Id="rId635" Type="http://schemas.openxmlformats.org/officeDocument/2006/relationships/hyperlink" Target="http://cesarcabo.blogspot.com/" TargetMode="External"/><Relationship Id="rId842" Type="http://schemas.openxmlformats.org/officeDocument/2006/relationships/hyperlink" Target="https://www.eldiario.es/rastreador/Albert-Rivera-extrema-populistas-bolivarianos_6_838226200.html" TargetMode="External"/><Relationship Id="rId1058" Type="http://schemas.openxmlformats.org/officeDocument/2006/relationships/hyperlink" Target="https://pbs.twimg.com/media/DsjXR2GWoAAxWtJ.jpg" TargetMode="External"/><Relationship Id="rId1265" Type="http://schemas.openxmlformats.org/officeDocument/2006/relationships/hyperlink" Target="https://pbs.twimg.com/media/DsibdFpXcAAoS7w.jpg" TargetMode="External"/><Relationship Id="rId1472" Type="http://schemas.openxmlformats.org/officeDocument/2006/relationships/hyperlink" Target="https://www.publico.es/tremending/2018/11/21/por-que-albert-rivera-no-se-atreve-a-decir-que-vox-es-extrema-derecha-twitter-analiza-los-motivos/" TargetMode="External"/><Relationship Id="rId2109" Type="http://schemas.openxmlformats.org/officeDocument/2006/relationships/hyperlink" Target="https://youtu.be/juba6tfIxxs" TargetMode="External"/><Relationship Id="rId2316" Type="http://schemas.openxmlformats.org/officeDocument/2006/relationships/hyperlink" Target="http://pic.twitter.com/zmE0t0GgVg" TargetMode="External"/><Relationship Id="rId2523" Type="http://schemas.openxmlformats.org/officeDocument/2006/relationships/hyperlink" Target="http://www.huffingtonpost.es/" TargetMode="External"/><Relationship Id="rId2730" Type="http://schemas.openxmlformats.org/officeDocument/2006/relationships/hyperlink" Target="https://youtu.be/OV7O8yihVB4" TargetMode="External"/><Relationship Id="rId702" Type="http://schemas.openxmlformats.org/officeDocument/2006/relationships/hyperlink" Target="http://www.youtube.com/sila661" TargetMode="External"/><Relationship Id="rId1125" Type="http://schemas.openxmlformats.org/officeDocument/2006/relationships/hyperlink" Target="https://pbs.twimg.com/media/DsjGAj1UwAU877t.jpg" TargetMode="External"/><Relationship Id="rId1332" Type="http://schemas.openxmlformats.org/officeDocument/2006/relationships/hyperlink" Target="https://www.elplural.com/politica/albert-rivera-copia-modelo-bus-propagandista-que-critico-a-podemos_206760102" TargetMode="External"/><Relationship Id="rId1777" Type="http://schemas.openxmlformats.org/officeDocument/2006/relationships/hyperlink" Target="https://twitter.com/Albert_Rivera/status/1064968720790011905" TargetMode="External"/><Relationship Id="rId1984" Type="http://schemas.openxmlformats.org/officeDocument/2006/relationships/hyperlink" Target="http://www.elperiodico.com/" TargetMode="External"/><Relationship Id="rId69" Type="http://schemas.openxmlformats.org/officeDocument/2006/relationships/hyperlink" Target="https://pbs.twimg.com/media/Dsr_6k9XgAAlrQf.jpg" TargetMode="External"/><Relationship Id="rId1637" Type="http://schemas.openxmlformats.org/officeDocument/2006/relationships/hyperlink" Target="https://pbs.twimg.com/media/DshGPGmXoAAJmAw.jpg" TargetMode="External"/><Relationship Id="rId1844" Type="http://schemas.openxmlformats.org/officeDocument/2006/relationships/hyperlink" Target="https://twitter.com/EqInvestigacion/status/1064638255839236096" TargetMode="External"/><Relationship Id="rId1704" Type="http://schemas.openxmlformats.org/officeDocument/2006/relationships/hyperlink" Target="http://serbanx.deviantart.com/" TargetMode="External"/><Relationship Id="rId285" Type="http://schemas.openxmlformats.org/officeDocument/2006/relationships/hyperlink" Target="http://youtu.be/lYfwLSXLeJQ?a" TargetMode="External"/><Relationship Id="rId1911" Type="http://schemas.openxmlformats.org/officeDocument/2006/relationships/hyperlink" Target="https://pbs.twimg.com/media/DsemiFEX4AAMp2b.jpg" TargetMode="External"/><Relationship Id="rId492" Type="http://schemas.openxmlformats.org/officeDocument/2006/relationships/hyperlink" Target="https://www.elmundo.es/espana/2018/11/22/5bf6a067e5fdea356f8b4633.html" TargetMode="External"/><Relationship Id="rId797" Type="http://schemas.openxmlformats.org/officeDocument/2006/relationships/hyperlink" Target="http://losmundosdemadeleine.wordpress.com/" TargetMode="External"/><Relationship Id="rId2173" Type="http://schemas.openxmlformats.org/officeDocument/2006/relationships/hyperlink" Target="http://pic.twitter.com/6kZHNAdNJ7" TargetMode="External"/><Relationship Id="rId2380" Type="http://schemas.openxmlformats.org/officeDocument/2006/relationships/hyperlink" Target="http://www.europapress.tv/" TargetMode="External"/><Relationship Id="rId2478" Type="http://schemas.openxmlformats.org/officeDocument/2006/relationships/hyperlink" Target="https://www.pp.es/" TargetMode="External"/><Relationship Id="rId145" Type="http://schemas.openxmlformats.org/officeDocument/2006/relationships/hyperlink" Target="https://www.ciudadanos-cs.org/" TargetMode="External"/><Relationship Id="rId352" Type="http://schemas.openxmlformats.org/officeDocument/2006/relationships/hyperlink" Target="http://pic.twitter.com/8ce98B7Kt2" TargetMode="External"/><Relationship Id="rId1287" Type="http://schemas.openxmlformats.org/officeDocument/2006/relationships/hyperlink" Target="https://pbs.twimg.com/media/DsdI4_9XQAAERuS.jpg" TargetMode="External"/><Relationship Id="rId2033" Type="http://schemas.openxmlformats.org/officeDocument/2006/relationships/hyperlink" Target="https://www.facebook.com/pages/Juan-Carlos-DZ/102718446446495?fref=ts" TargetMode="External"/><Relationship Id="rId2240" Type="http://schemas.openxmlformats.org/officeDocument/2006/relationships/hyperlink" Target="https://patriciaguasp.wordpress.com/" TargetMode="External"/><Relationship Id="rId2685" Type="http://schemas.openxmlformats.org/officeDocument/2006/relationships/hyperlink" Target="http://www.huffingtonpost.es/" TargetMode="External"/><Relationship Id="rId212" Type="http://schemas.openxmlformats.org/officeDocument/2006/relationships/hyperlink" Target="http://ow.ly/PJmJ30mIOQ9" TargetMode="External"/><Relationship Id="rId657" Type="http://schemas.openxmlformats.org/officeDocument/2006/relationships/hyperlink" Target="https://pbs.twimg.com/media/Dsm-jK4W0AAsqZ1.jpg" TargetMode="External"/><Relationship Id="rId864" Type="http://schemas.openxmlformats.org/officeDocument/2006/relationships/hyperlink" Target="https://pbs.twimg.com/media/DsgwGuqU8AEeA9d.jpg" TargetMode="External"/><Relationship Id="rId1494" Type="http://schemas.openxmlformats.org/officeDocument/2006/relationships/hyperlink" Target="http://tremending.publico.es/" TargetMode="External"/><Relationship Id="rId1799" Type="http://schemas.openxmlformats.org/officeDocument/2006/relationships/hyperlink" Target="https://www.lavanguardia.com/politica/20181120/453073801172/joan-tarda-albert-rivera-cada-vez-golpistas-llamaremos-fascista.html?utm_campaign=botones_sociales&amp;utm_source=twitter&amp;utm_medium=social" TargetMode="External"/><Relationship Id="rId2100" Type="http://schemas.openxmlformats.org/officeDocument/2006/relationships/hyperlink" Target="http://ramblalibre.com/2018/11/20/joan-tarda-pasa-el-rubicon-y-llama-fascista-a-albert-rivera-en-el-congreso/" TargetMode="External"/><Relationship Id="rId2338" Type="http://schemas.openxmlformats.org/officeDocument/2006/relationships/hyperlink" Target="http://cortes-valencianas.ciudadanos-cs.org/" TargetMode="External"/><Relationship Id="rId2545" Type="http://schemas.openxmlformats.org/officeDocument/2006/relationships/hyperlink" Target="https://www.elmundo.es/cataluna/2018/11/20/5bf30ac5468aeb7a7e8b4607.html" TargetMode="External"/><Relationship Id="rId2752" Type="http://schemas.openxmlformats.org/officeDocument/2006/relationships/hyperlink" Target="https://www.huffingtonpost.es/2018/11/19/teresa-rodriguez-llama-albert-primo-de-rivera-a-albert-rivera_a_23594091/?ncid=other_twitter_cooo9wqtham&amp;utm_campaign=share_twitter" TargetMode="External"/><Relationship Id="rId517" Type="http://schemas.openxmlformats.org/officeDocument/2006/relationships/hyperlink" Target="http://www.bitmomentum.com/" TargetMode="External"/><Relationship Id="rId724" Type="http://schemas.openxmlformats.org/officeDocument/2006/relationships/hyperlink" Target="http://www.youtube.com/sila661" TargetMode="External"/><Relationship Id="rId931" Type="http://schemas.openxmlformats.org/officeDocument/2006/relationships/hyperlink" Target="https://twitter.com/gerardotc/status/1065316070314176512" TargetMode="External"/><Relationship Id="rId1147" Type="http://schemas.openxmlformats.org/officeDocument/2006/relationships/hyperlink" Target="https://pbs.twimg.com/media/DsjD8_mXcAIMwEV.jpg" TargetMode="External"/><Relationship Id="rId1354" Type="http://schemas.openxmlformats.org/officeDocument/2006/relationships/hyperlink" Target="http://elrincon.tv/" TargetMode="External"/><Relationship Id="rId1561" Type="http://schemas.openxmlformats.org/officeDocument/2006/relationships/hyperlink" Target="http://jukeboxpretencioso.wordpress.com/" TargetMode="External"/><Relationship Id="rId2405" Type="http://schemas.openxmlformats.org/officeDocument/2006/relationships/hyperlink" Target="http://www.bitmomentum.com/" TargetMode="External"/><Relationship Id="rId2612" Type="http://schemas.openxmlformats.org/officeDocument/2006/relationships/hyperlink" Target="https://twitter.com/josepgoded/status/1063821564204986370" TargetMode="External"/><Relationship Id="rId60" Type="http://schemas.openxmlformats.org/officeDocument/2006/relationships/hyperlink" Target="https://pbs.twimg.com/media/DssF_45WkAE44xo.jpg" TargetMode="External"/><Relationship Id="rId1007" Type="http://schemas.openxmlformats.org/officeDocument/2006/relationships/hyperlink" Target="http://tremending.publico.es/" TargetMode="External"/><Relationship Id="rId1214" Type="http://schemas.openxmlformats.org/officeDocument/2006/relationships/hyperlink" Target="http://www.bitmomentum.com/" TargetMode="External"/><Relationship Id="rId1421" Type="http://schemas.openxmlformats.org/officeDocument/2006/relationships/hyperlink" Target="https://www.publico.es/tremending/2018/11/21/por-que-albert-rivera-no-se-atreve-a-decir-que-vox-es-extrema-derecha-twitter-analiza-los-motivos/" TargetMode="External"/><Relationship Id="rId1659" Type="http://schemas.openxmlformats.org/officeDocument/2006/relationships/hyperlink" Target="https://twitter.com/Albert_Rivera/status/1064950502423740417" TargetMode="External"/><Relationship Id="rId1866" Type="http://schemas.openxmlformats.org/officeDocument/2006/relationships/hyperlink" Target="https://pbs.twimg.com/media/Dsd4l5CW0AAiZjn.jpg" TargetMode="External"/><Relationship Id="rId1519" Type="http://schemas.openxmlformats.org/officeDocument/2006/relationships/hyperlink" Target="https://pbs.twimg.com/media/Dshg2nQW0AAocrI.jpg" TargetMode="External"/><Relationship Id="rId1726" Type="http://schemas.openxmlformats.org/officeDocument/2006/relationships/hyperlink" Target="http://www.bitmomentum.com/" TargetMode="External"/><Relationship Id="rId1933" Type="http://schemas.openxmlformats.org/officeDocument/2006/relationships/hyperlink" Target="https://www.elmundo.es/cataluna/2018/11/20/5bf30ac5468aeb7a7e8b4607.html" TargetMode="External"/><Relationship Id="rId18" Type="http://schemas.openxmlformats.org/officeDocument/2006/relationships/hyperlink" Target="http://www.noticias24horas.com/" TargetMode="External"/><Relationship Id="rId2195" Type="http://schemas.openxmlformats.org/officeDocument/2006/relationships/hyperlink" Target="https://helpcatalonia.blogspot.com.es/" TargetMode="External"/><Relationship Id="rId167" Type="http://schemas.openxmlformats.org/officeDocument/2006/relationships/hyperlink" Target="https://pbs.twimg.com/media/DsrVGFRXcAA1Q5W.jpg" TargetMode="External"/><Relationship Id="rId374" Type="http://schemas.openxmlformats.org/officeDocument/2006/relationships/hyperlink" Target="http://pic.twitter.com/cCVhEbwr2r" TargetMode="External"/><Relationship Id="rId581" Type="http://schemas.openxmlformats.org/officeDocument/2006/relationships/hyperlink" Target="https://www.elmundo.es/espana/2018/11/22/5bf6a067e5fdea356f8b4633.html" TargetMode="External"/><Relationship Id="rId2055" Type="http://schemas.openxmlformats.org/officeDocument/2006/relationships/hyperlink" Target="http://www.bitmomentum.com/" TargetMode="External"/><Relationship Id="rId2262" Type="http://schemas.openxmlformats.org/officeDocument/2006/relationships/hyperlink" Target="https://twitter.com/CiudadanosCs/status/1064938975905890307" TargetMode="External"/><Relationship Id="rId234" Type="http://schemas.openxmlformats.org/officeDocument/2006/relationships/hyperlink" Target="https://www.elplural.com/politica/albert-rivera-extrema-derecha-vox-respuesta-entrevista_206736102" TargetMode="External"/><Relationship Id="rId679" Type="http://schemas.openxmlformats.org/officeDocument/2006/relationships/hyperlink" Target="http://www.ciudadanos-cs.org/" TargetMode="External"/><Relationship Id="rId886" Type="http://schemas.openxmlformats.org/officeDocument/2006/relationships/hyperlink" Target="https://pbs.twimg.com/media/DslxMccWkAAhKp8.jpg" TargetMode="External"/><Relationship Id="rId2567" Type="http://schemas.openxmlformats.org/officeDocument/2006/relationships/hyperlink" Target="http://www.bitmomentum.com/" TargetMode="External"/><Relationship Id="rId2774" Type="http://schemas.openxmlformats.org/officeDocument/2006/relationships/hyperlink" Target="http://carmeloprado.wordpress.com/" TargetMode="External"/><Relationship Id="rId2" Type="http://schemas.openxmlformats.org/officeDocument/2006/relationships/hyperlink" Target="https://pbs.twimg.com/media/Dsr9nCZXgAAH90r.jpg" TargetMode="External"/><Relationship Id="rId441" Type="http://schemas.openxmlformats.org/officeDocument/2006/relationships/hyperlink" Target="http://t52m.blogspot.com.es/" TargetMode="External"/><Relationship Id="rId539" Type="http://schemas.openxmlformats.org/officeDocument/2006/relationships/hyperlink" Target="https://twitter.com/manuelvalls/status/1065588658110107650" TargetMode="External"/><Relationship Id="rId746" Type="http://schemas.openxmlformats.org/officeDocument/2006/relationships/hyperlink" Target="https://pbs.twimg.com/media/DsgwGuqU8AEeA9d.jpg" TargetMode="External"/><Relationship Id="rId1071" Type="http://schemas.openxmlformats.org/officeDocument/2006/relationships/hyperlink" Target="https://pbs.twimg.com/media/Dsh4V7mW0AAD0MV.jpg" TargetMode="External"/><Relationship Id="rId1169" Type="http://schemas.openxmlformats.org/officeDocument/2006/relationships/hyperlink" Target="https://www.elmundo.es/espana/2018/11/21/5bf53f8b268e3e0a5a8b465c.html" TargetMode="External"/><Relationship Id="rId1376" Type="http://schemas.openxmlformats.org/officeDocument/2006/relationships/hyperlink" Target="https://pbs.twimg.com/media/Dsh-lvXWsAAb5SK.jpg" TargetMode="External"/><Relationship Id="rId1583" Type="http://schemas.openxmlformats.org/officeDocument/2006/relationships/hyperlink" Target="http://pic.twitter.com/g9j4cZWJNk" TargetMode="External"/><Relationship Id="rId2122" Type="http://schemas.openxmlformats.org/officeDocument/2006/relationships/hyperlink" Target="https://youtu.be/C4hpa5dCKAo" TargetMode="External"/><Relationship Id="rId2427" Type="http://schemas.openxmlformats.org/officeDocument/2006/relationships/hyperlink" Target="http://pic.twitter.com/NqNRKWubYC" TargetMode="External"/><Relationship Id="rId301" Type="http://schemas.openxmlformats.org/officeDocument/2006/relationships/hyperlink" Target="http://pic.twitter.com/U9zIcEcTs2" TargetMode="External"/><Relationship Id="rId953" Type="http://schemas.openxmlformats.org/officeDocument/2006/relationships/hyperlink" Target="https://pbs.twimg.com/media/DskATkhU8AAs8Kq.jpg" TargetMode="External"/><Relationship Id="rId1029" Type="http://schemas.openxmlformats.org/officeDocument/2006/relationships/hyperlink" Target="http://www.lekaconk.com/" TargetMode="External"/><Relationship Id="rId1236" Type="http://schemas.openxmlformats.org/officeDocument/2006/relationships/hyperlink" Target="https://www.publico.es/tremending/2018/11/21/por-que-albert-rivera-no-se-atreve-a-decir-que-vox-es-extrema-derecha-twitter-analiza-los-motivos/" TargetMode="External"/><Relationship Id="rId1790" Type="http://schemas.openxmlformats.org/officeDocument/2006/relationships/hyperlink" Target="http://youtu.be/g6iGsNwc2EU?a" TargetMode="External"/><Relationship Id="rId1888" Type="http://schemas.openxmlformats.org/officeDocument/2006/relationships/hyperlink" Target="http://www.digo-yo.es/author/esparroqui/" TargetMode="External"/><Relationship Id="rId2634" Type="http://schemas.openxmlformats.org/officeDocument/2006/relationships/hyperlink" Target="http://www.ciudadanos-cs.org/" TargetMode="External"/><Relationship Id="rId82" Type="http://schemas.openxmlformats.org/officeDocument/2006/relationships/hyperlink" Target="https://twitter.com/cunadometro/status/1065906645413318656" TargetMode="External"/><Relationship Id="rId606" Type="http://schemas.openxmlformats.org/officeDocument/2006/relationships/hyperlink" Target="https://www.elmundo.es/espana/2018/11/22/5bf6a067e5fdea356f8b4633.html" TargetMode="External"/><Relationship Id="rId813" Type="http://schemas.openxmlformats.org/officeDocument/2006/relationships/hyperlink" Target="http://guadalajara.ciudadanos-cs.org/" TargetMode="External"/><Relationship Id="rId1443" Type="http://schemas.openxmlformats.org/officeDocument/2006/relationships/hyperlink" Target="http://laverdadduelemas.blogspot.com.es/" TargetMode="External"/><Relationship Id="rId1650" Type="http://schemas.openxmlformats.org/officeDocument/2006/relationships/hyperlink" Target="https://pbs.twimg.com/media/DshCpEnWwAAot1L.jpg" TargetMode="External"/><Relationship Id="rId1748" Type="http://schemas.openxmlformats.org/officeDocument/2006/relationships/hyperlink" Target="http://pic.twitter.com/BU2t2EfQhh" TargetMode="External"/><Relationship Id="rId2701" Type="http://schemas.openxmlformats.org/officeDocument/2006/relationships/hyperlink" Target="http://www.sajimes.blogspot.com/" TargetMode="External"/><Relationship Id="rId1303" Type="http://schemas.openxmlformats.org/officeDocument/2006/relationships/hyperlink" Target="https://www.elmundo.es/economia/macroeconomia/2018/11/21/5bf542fa46163f8e9e8b4669.html" TargetMode="External"/><Relationship Id="rId1510" Type="http://schemas.openxmlformats.org/officeDocument/2006/relationships/hyperlink" Target="http://www.antonimanchado.com/" TargetMode="External"/><Relationship Id="rId1955" Type="http://schemas.openxmlformats.org/officeDocument/2006/relationships/hyperlink" Target="http://pic.twitter.com/jeu0BWiGiF" TargetMode="External"/><Relationship Id="rId1608" Type="http://schemas.openxmlformats.org/officeDocument/2006/relationships/hyperlink" Target="https://delmoraloblog.wordpress.com/" TargetMode="External"/><Relationship Id="rId1815" Type="http://schemas.openxmlformats.org/officeDocument/2006/relationships/hyperlink" Target="https://twitter.com/sol651/status/1064918545098788871" TargetMode="External"/><Relationship Id="rId189" Type="http://schemas.openxmlformats.org/officeDocument/2006/relationships/hyperlink" Target="https://pbs.twimg.com/media/DsrF6gHXgAAg8aI.jpg" TargetMode="External"/><Relationship Id="rId396" Type="http://schemas.openxmlformats.org/officeDocument/2006/relationships/hyperlink" Target="http://www.ciudadanos-cs.org/" TargetMode="External"/><Relationship Id="rId2077" Type="http://schemas.openxmlformats.org/officeDocument/2006/relationships/hyperlink" Target="https://pbs.twimg.com/media/DseE6RBWkAAAeTZ.jpg" TargetMode="External"/><Relationship Id="rId2284" Type="http://schemas.openxmlformats.org/officeDocument/2006/relationships/hyperlink" Target="http://pic.twitter.com/GKRlh9kzhS" TargetMode="External"/><Relationship Id="rId2491" Type="http://schemas.openxmlformats.org/officeDocument/2006/relationships/hyperlink" Target="http://morbixx.tumblr.com/" TargetMode="External"/><Relationship Id="rId256" Type="http://schemas.openxmlformats.org/officeDocument/2006/relationships/hyperlink" Target="https://www.youtube.com/c/alfilodelabrecha" TargetMode="External"/><Relationship Id="rId463" Type="http://schemas.openxmlformats.org/officeDocument/2006/relationships/hyperlink" Target="http://www.elmundo.es/espana/2018/11/22/5bf6a067e5fdea356f8b4633.html" TargetMode="External"/><Relationship Id="rId670" Type="http://schemas.openxmlformats.org/officeDocument/2006/relationships/hyperlink" Target="https://www.elperiodico.com/es/politica/20181122/albert-rivera-2017-montar-autobus-no-es-hacer-oposicion-7161584?utm_source=twitter&amp;utm_medium=social" TargetMode="External"/><Relationship Id="rId1093" Type="http://schemas.openxmlformats.org/officeDocument/2006/relationships/hyperlink" Target="http://www.eldiario.es/" TargetMode="External"/><Relationship Id="rId2144" Type="http://schemas.openxmlformats.org/officeDocument/2006/relationships/hyperlink" Target="http://shr.gs/KxIcSkQ" TargetMode="External"/><Relationship Id="rId2351" Type="http://schemas.openxmlformats.org/officeDocument/2006/relationships/hyperlink" Target="https://www.elespanol.com/espana/politica/20181117/rivera-ofensiva-espana-forzar-psoe-definirse-indultos/353715494_0.html" TargetMode="External"/><Relationship Id="rId2589" Type="http://schemas.openxmlformats.org/officeDocument/2006/relationships/hyperlink" Target="https://m.eldiario.es/_31eabbdc" TargetMode="External"/><Relationship Id="rId2796" Type="http://schemas.openxmlformats.org/officeDocument/2006/relationships/hyperlink" Target="http://jpombo.es/" TargetMode="External"/><Relationship Id="rId116" Type="http://schemas.openxmlformats.org/officeDocument/2006/relationships/hyperlink" Target="https://www.facebook.com/100003395081586/posts/1764317367024749/" TargetMode="External"/><Relationship Id="rId323" Type="http://schemas.openxmlformats.org/officeDocument/2006/relationships/hyperlink" Target="http://www.bitmomentum.com/" TargetMode="External"/><Relationship Id="rId530" Type="http://schemas.openxmlformats.org/officeDocument/2006/relationships/hyperlink" Target="https://pbs.twimg.com/media/DsniJDQWkAAVFSj.jpg" TargetMode="External"/><Relationship Id="rId768" Type="http://schemas.openxmlformats.org/officeDocument/2006/relationships/hyperlink" Target="https://twitter.com/rosadiezglez/status/1065305148321349632" TargetMode="External"/><Relationship Id="rId975" Type="http://schemas.openxmlformats.org/officeDocument/2006/relationships/hyperlink" Target="https://pbs.twimg.com/media/Dsi6qxGWkAM8_W6.jpg" TargetMode="External"/><Relationship Id="rId1160" Type="http://schemas.openxmlformats.org/officeDocument/2006/relationships/hyperlink" Target="http://vesteve3.wix.com/jo" TargetMode="External"/><Relationship Id="rId1398" Type="http://schemas.openxmlformats.org/officeDocument/2006/relationships/hyperlink" Target="http://instagram.com/carlescuevas" TargetMode="External"/><Relationship Id="rId2004" Type="http://schemas.openxmlformats.org/officeDocument/2006/relationships/hyperlink" Target="http://canarias.ciudadanos-cs.org/" TargetMode="External"/><Relationship Id="rId2211" Type="http://schemas.openxmlformats.org/officeDocument/2006/relationships/hyperlink" Target="https://pbs.twimg.com/media/Dsdta2mW0AIlagJ.jpg" TargetMode="External"/><Relationship Id="rId2449" Type="http://schemas.openxmlformats.org/officeDocument/2006/relationships/hyperlink" Target="https://www.eljueves.es/news/albert-rivera-se-pasa-flamenco-para-conseguirse-unos-grammys-2_2958" TargetMode="External"/><Relationship Id="rId2656" Type="http://schemas.openxmlformats.org/officeDocument/2006/relationships/hyperlink" Target="http://a.msn.com/01/es-es/BBPTvWt?ocid=st" TargetMode="External"/><Relationship Id="rId628" Type="http://schemas.openxmlformats.org/officeDocument/2006/relationships/hyperlink" Target="https://lascenizasdetroya.wordpress.com/" TargetMode="External"/><Relationship Id="rId835" Type="http://schemas.openxmlformats.org/officeDocument/2006/relationships/hyperlink" Target="http://sirioandaluz.blogspot.com.es/" TargetMode="External"/><Relationship Id="rId1258" Type="http://schemas.openxmlformats.org/officeDocument/2006/relationships/hyperlink" Target="https://www.publico.es/tremending/2018/11/21/por-que-albert-rivera-no-se-atreve-a-decir-que-vox-es-extrema-derecha-twitter-analiza-los-motivos/" TargetMode="External"/><Relationship Id="rId1465" Type="http://schemas.openxmlformats.org/officeDocument/2006/relationships/hyperlink" Target="http://fsa-psoe.org/" TargetMode="External"/><Relationship Id="rId1672" Type="http://schemas.openxmlformats.org/officeDocument/2006/relationships/hyperlink" Target="https://pbs.twimg.com/media/Dsg9aZpX4AAJV84.jpg" TargetMode="External"/><Relationship Id="rId2309" Type="http://schemas.openxmlformats.org/officeDocument/2006/relationships/hyperlink" Target="https://pbs.twimg.com/media/DsdpImdXoAIEnei.jpg" TargetMode="External"/><Relationship Id="rId2516" Type="http://schemas.openxmlformats.org/officeDocument/2006/relationships/hyperlink" Target="http://www.enblau.com/es/" TargetMode="External"/><Relationship Id="rId2723" Type="http://schemas.openxmlformats.org/officeDocument/2006/relationships/hyperlink" Target="http://www.elmundo.es/" TargetMode="External"/><Relationship Id="rId1020" Type="http://schemas.openxmlformats.org/officeDocument/2006/relationships/hyperlink" Target="https://twitter.com/circe1939/status/1065289157717692417" TargetMode="External"/><Relationship Id="rId1118" Type="http://schemas.openxmlformats.org/officeDocument/2006/relationships/hyperlink" Target="https://pbs.twimg.com/media/Dsh4_XYWkAEmPTa.jpg" TargetMode="External"/><Relationship Id="rId1325" Type="http://schemas.openxmlformats.org/officeDocument/2006/relationships/hyperlink" Target="http://psoefondon.blogspot.com.es/" TargetMode="External"/><Relationship Id="rId1532" Type="http://schemas.openxmlformats.org/officeDocument/2006/relationships/hyperlink" Target="https://pbs.twimg.com/media/Dsg7fJIXgAcOcGm.jpg" TargetMode="External"/><Relationship Id="rId1977" Type="http://schemas.openxmlformats.org/officeDocument/2006/relationships/hyperlink" Target="http://www.bitmomentum.com/" TargetMode="External"/><Relationship Id="rId902" Type="http://schemas.openxmlformats.org/officeDocument/2006/relationships/hyperlink" Target="http://www.expansion.com/economia/politica/2018/11/22/5bf52558e5fdea45258b4575.html" TargetMode="External"/><Relationship Id="rId1837" Type="http://schemas.openxmlformats.org/officeDocument/2006/relationships/hyperlink" Target="http://www.elperiodico.com/" TargetMode="External"/><Relationship Id="rId31" Type="http://schemas.openxmlformats.org/officeDocument/2006/relationships/hyperlink" Target="http://pic.twitter.com/ULxnCRGb8z" TargetMode="External"/><Relationship Id="rId2099" Type="http://schemas.openxmlformats.org/officeDocument/2006/relationships/hyperlink" Target="http://www.elindependiente.com/" TargetMode="External"/><Relationship Id="rId180" Type="http://schemas.openxmlformats.org/officeDocument/2006/relationships/hyperlink" Target="https://www.diaribalear.es/" TargetMode="External"/><Relationship Id="rId278" Type="http://schemas.openxmlformats.org/officeDocument/2006/relationships/hyperlink" Target="https://www.elmundo.es/espana/2018/11/22/5bf6a067e5fdea356f8b4633.html" TargetMode="External"/><Relationship Id="rId1904" Type="http://schemas.openxmlformats.org/officeDocument/2006/relationships/hyperlink" Target="https://youtu.be/juba6tfIxxs" TargetMode="External"/><Relationship Id="rId485" Type="http://schemas.openxmlformats.org/officeDocument/2006/relationships/hyperlink" Target="https://www.elmundo.es/espana/2018/11/22/5bf6a067e5fdea356f8b4633.html" TargetMode="External"/><Relationship Id="rId692" Type="http://schemas.openxmlformats.org/officeDocument/2006/relationships/hyperlink" Target="https://pbs.twimg.com/media/Dsm6HrqWwAAn6wf.jpg" TargetMode="External"/><Relationship Id="rId2166" Type="http://schemas.openxmlformats.org/officeDocument/2006/relationships/hyperlink" Target="https://pbs.twimg.com/media/Dsd752wWsAECbmD.jpg" TargetMode="External"/><Relationship Id="rId2373" Type="http://schemas.openxmlformats.org/officeDocument/2006/relationships/hyperlink" Target="https://goo.gl/U6tWs2?yiq61=2916371554" TargetMode="External"/><Relationship Id="rId2580" Type="http://schemas.openxmlformats.org/officeDocument/2006/relationships/hyperlink" Target="https://www.elmundo.es/espana/2018/11/20/5bf3e474e2704ec6568b4825.html" TargetMode="External"/><Relationship Id="rId138" Type="http://schemas.openxmlformats.org/officeDocument/2006/relationships/hyperlink" Target="https://pbs.twimg.com/media/DsrhLUvWkAAOiH-.jpg" TargetMode="External"/><Relationship Id="rId345" Type="http://schemas.openxmlformats.org/officeDocument/2006/relationships/hyperlink" Target="http://www.noticias24horas.com/" TargetMode="External"/><Relationship Id="rId552" Type="http://schemas.openxmlformats.org/officeDocument/2006/relationships/hyperlink" Target="https://www.ciudadanos-cs.org/prensa/rivera-a-sanchez-se-le-ha-ido-de-las-manos-el-monstruo-de-frankenstein-que-construyo-con-rufian-iglesias-torra-y-bildu/11100" TargetMode="External"/><Relationship Id="rId997" Type="http://schemas.openxmlformats.org/officeDocument/2006/relationships/hyperlink" Target="http://www.joanmena.cat/" TargetMode="External"/><Relationship Id="rId1182" Type="http://schemas.openxmlformats.org/officeDocument/2006/relationships/hyperlink" Target="https://pbs.twimg.com/media/Dsi1aDQXoAAUaCv.jpg" TargetMode="External"/><Relationship Id="rId2026" Type="http://schemas.openxmlformats.org/officeDocument/2006/relationships/hyperlink" Target="https://www.facebook.com/andresloveluciagil" TargetMode="External"/><Relationship Id="rId2233" Type="http://schemas.openxmlformats.org/officeDocument/2006/relationships/hyperlink" Target="http://albacete.ciudadanos-cs.org/" TargetMode="External"/><Relationship Id="rId2440" Type="http://schemas.openxmlformats.org/officeDocument/2006/relationships/hyperlink" Target="https://pbs.twimg.com/media/Dsc0el1WoAAnD0A.jpg" TargetMode="External"/><Relationship Id="rId2678" Type="http://schemas.openxmlformats.org/officeDocument/2006/relationships/hyperlink" Target="http://www.antena3.com/espejopublico" TargetMode="External"/><Relationship Id="rId205" Type="http://schemas.openxmlformats.org/officeDocument/2006/relationships/hyperlink" Target="http://ciudadanos-cs.org/" TargetMode="External"/><Relationship Id="rId412" Type="http://schemas.openxmlformats.org/officeDocument/2006/relationships/hyperlink" Target="https://pbs.twimg.com/media/DsoEoZpVYAEfzfU.jpg" TargetMode="External"/><Relationship Id="rId857" Type="http://schemas.openxmlformats.org/officeDocument/2006/relationships/hyperlink" Target="http://societatanonima.wordpress.com/" TargetMode="External"/><Relationship Id="rId1042" Type="http://schemas.openxmlformats.org/officeDocument/2006/relationships/hyperlink" Target="https://www.eldiario.es/politica/Tarda-Rivera-golpistas-llamaremos-Empezando_0_837817328.html" TargetMode="External"/><Relationship Id="rId1487" Type="http://schemas.openxmlformats.org/officeDocument/2006/relationships/hyperlink" Target="https://pbs.twimg.com/media/DshpODJXgAAu56m.jpg" TargetMode="External"/><Relationship Id="rId1694" Type="http://schemas.openxmlformats.org/officeDocument/2006/relationships/hyperlink" Target="https://pbs.twimg.com/media/Dsg5kzfXgAANMg6.jpg" TargetMode="External"/><Relationship Id="rId2300" Type="http://schemas.openxmlformats.org/officeDocument/2006/relationships/hyperlink" Target="http://pic.twitter.com/cJGHWT14uL" TargetMode="External"/><Relationship Id="rId2538" Type="http://schemas.openxmlformats.org/officeDocument/2006/relationships/hyperlink" Target="https://www.lanzadigital.com/castilla-la-mancha/abalos-responde-a-garcia-page-que-albert-rivera-no-tendria-cabida-en-el-psoe-en-el-que-el-se-afilio/" TargetMode="External"/><Relationship Id="rId2745" Type="http://schemas.openxmlformats.org/officeDocument/2006/relationships/hyperlink" Target="https://ocio.laopinioncoruna.es/tv/noticias/nws-709050-encontronazo-risto-mejide-albert-rivera-una-campana-publicitaria.html" TargetMode="External"/><Relationship Id="rId717" Type="http://schemas.openxmlformats.org/officeDocument/2006/relationships/hyperlink" Target="http://www.noticierouniversal.com/" TargetMode="External"/><Relationship Id="rId924" Type="http://schemas.openxmlformats.org/officeDocument/2006/relationships/hyperlink" Target="https://twitter.com/TITORODRIGUEZZ/status/1065289160985116672" TargetMode="External"/><Relationship Id="rId1347" Type="http://schemas.openxmlformats.org/officeDocument/2006/relationships/hyperlink" Target="https://www.elmundo.es/espana/2018/11/20/5bf3e474e2704ec6568b4825.html" TargetMode="External"/><Relationship Id="rId1554" Type="http://schemas.openxmlformats.org/officeDocument/2006/relationships/hyperlink" Target="https://pbs.twimg.com/media/DshVxU5WsAIDDZs.jpg" TargetMode="External"/><Relationship Id="rId1761" Type="http://schemas.openxmlformats.org/officeDocument/2006/relationships/hyperlink" Target="https://twitter.com/JuecesAPMCAT/status/1065143427329859585" TargetMode="External"/><Relationship Id="rId1999" Type="http://schemas.openxmlformats.org/officeDocument/2006/relationships/hyperlink" Target="https://pbs.twimg.com/media/Dsc7BqhX4AA3xdm.jpg" TargetMode="External"/><Relationship Id="rId2605" Type="http://schemas.openxmlformats.org/officeDocument/2006/relationships/hyperlink" Target="https://www.youtube.com/watch?v=X_tKzZiSJY4" TargetMode="External"/><Relationship Id="rId53" Type="http://schemas.openxmlformats.org/officeDocument/2006/relationships/hyperlink" Target="http://www.ciudadanos-cs.org/" TargetMode="External"/><Relationship Id="rId1207" Type="http://schemas.openxmlformats.org/officeDocument/2006/relationships/hyperlink" Target="https://pbs.twimg.com/media/Dsds1VLXcAA3Ud5.jpg" TargetMode="External"/><Relationship Id="rId1414" Type="http://schemas.openxmlformats.org/officeDocument/2006/relationships/hyperlink" Target="https://www.elnacional.cat/enblau/es/television/albert-rivera-vox-pepa-bueno-cadena-ser_326946_102.html" TargetMode="External"/><Relationship Id="rId1621" Type="http://schemas.openxmlformats.org/officeDocument/2006/relationships/hyperlink" Target="http://www.ciudadanos-cs.org/" TargetMode="External"/><Relationship Id="rId1859" Type="http://schemas.openxmlformats.org/officeDocument/2006/relationships/hyperlink" Target="http://pic.twitter.com/AzuA3L5ZpD" TargetMode="External"/><Relationship Id="rId1719" Type="http://schemas.openxmlformats.org/officeDocument/2006/relationships/hyperlink" Target="http://cadenaser.com/programa/2018/11/20/hoy_por_hoy/1542712340_800654.html" TargetMode="External"/><Relationship Id="rId1926" Type="http://schemas.openxmlformats.org/officeDocument/2006/relationships/hyperlink" Target="https://m.facebook.com/ciudadanosmacarena/" TargetMode="External"/><Relationship Id="rId2090" Type="http://schemas.openxmlformats.org/officeDocument/2006/relationships/hyperlink" Target="https://www.ciudadanos-cs.org/" TargetMode="External"/><Relationship Id="rId2188" Type="http://schemas.openxmlformats.org/officeDocument/2006/relationships/hyperlink" Target="https://www.youtube.com/channel/UCzAeV22GnQxwUBokDOEyb4A" TargetMode="External"/><Relationship Id="rId2395" Type="http://schemas.openxmlformats.org/officeDocument/2006/relationships/hyperlink" Target="https://www.ciudadanos-cs.org/prensa/rivera-lo-unico-bueno-que-sanchez-puede-hacer-en-lo-que-queda-de-legislatura-es-el-decreto-de-convocatoria-de-elecciones/11083" TargetMode="External"/><Relationship Id="rId367" Type="http://schemas.openxmlformats.org/officeDocument/2006/relationships/hyperlink" Target="https://pbs.twimg.com/media/DsoSNFDW0AALE5_.jpg" TargetMode="External"/><Relationship Id="rId574" Type="http://schemas.openxmlformats.org/officeDocument/2006/relationships/hyperlink" Target="https://elpais.com/elpais/2018/11/21/opinion/1542806031_921444.html" TargetMode="External"/><Relationship Id="rId2048" Type="http://schemas.openxmlformats.org/officeDocument/2006/relationships/hyperlink" Target="http://cantabria.ciudadanos-cs.org/" TargetMode="External"/><Relationship Id="rId2255" Type="http://schemas.openxmlformats.org/officeDocument/2006/relationships/hyperlink" Target="http://pic.twitter.com/vMFvUJfGxd" TargetMode="External"/><Relationship Id="rId227" Type="http://schemas.openxmlformats.org/officeDocument/2006/relationships/hyperlink" Target="http://javiermarcosangulo.blogspot.com.es/" TargetMode="External"/><Relationship Id="rId781" Type="http://schemas.openxmlformats.org/officeDocument/2006/relationships/hyperlink" Target="https://pbs.twimg.com/media/DsmgHMhUcAA6O2J.jpg" TargetMode="External"/><Relationship Id="rId879" Type="http://schemas.openxmlformats.org/officeDocument/2006/relationships/hyperlink" Target="https://twitter.com/gerardotc/status/1065172100263096320" TargetMode="External"/><Relationship Id="rId2462" Type="http://schemas.openxmlformats.org/officeDocument/2006/relationships/hyperlink" Target="https://pbs.twimg.com/media/DscupZDXcAUQQ29.jpg" TargetMode="External"/><Relationship Id="rId2767" Type="http://schemas.openxmlformats.org/officeDocument/2006/relationships/hyperlink" Target="https://pbs.twimg.com/media/DsZpsgmVYAAlclr.jpg" TargetMode="External"/><Relationship Id="rId434" Type="http://schemas.openxmlformats.org/officeDocument/2006/relationships/hyperlink" Target="https://ecopolitica.org/" TargetMode="External"/><Relationship Id="rId641" Type="http://schemas.openxmlformats.org/officeDocument/2006/relationships/hyperlink" Target="https://curiouscat.me/Cieloutopicobarrabaj/post/713790140?t=1542893064" TargetMode="External"/><Relationship Id="rId739" Type="http://schemas.openxmlformats.org/officeDocument/2006/relationships/hyperlink" Target="http://www.bitmomentum.com/" TargetMode="External"/><Relationship Id="rId1064" Type="http://schemas.openxmlformats.org/officeDocument/2006/relationships/hyperlink" Target="http://diario16.com/rivera-se-niega-calificar-vox-partido-extrema-derecha/" TargetMode="External"/><Relationship Id="rId1271" Type="http://schemas.openxmlformats.org/officeDocument/2006/relationships/hyperlink" Target="http://rtve.es/comunicacion" TargetMode="External"/><Relationship Id="rId1369" Type="http://schemas.openxmlformats.org/officeDocument/2006/relationships/hyperlink" Target="http://www.eldiario.es/autores/la_sardina/" TargetMode="External"/><Relationship Id="rId1576" Type="http://schemas.openxmlformats.org/officeDocument/2006/relationships/hyperlink" Target="https://twitter.com/toniroldanm/status/1065167008277438465" TargetMode="External"/><Relationship Id="rId2115" Type="http://schemas.openxmlformats.org/officeDocument/2006/relationships/hyperlink" Target="http://dlvr.it/QrjM1V" TargetMode="External"/><Relationship Id="rId2322" Type="http://schemas.openxmlformats.org/officeDocument/2006/relationships/hyperlink" Target="http://pic.twitter.com/gkTq4OffsL" TargetMode="External"/><Relationship Id="rId501" Type="http://schemas.openxmlformats.org/officeDocument/2006/relationships/hyperlink" Target="http://shr.gs/UQ5jQbP" TargetMode="External"/><Relationship Id="rId946" Type="http://schemas.openxmlformats.org/officeDocument/2006/relationships/hyperlink" Target="http://www.nousrepublicans.com/" TargetMode="External"/><Relationship Id="rId1131" Type="http://schemas.openxmlformats.org/officeDocument/2006/relationships/hyperlink" Target="https://www.elplural.com/politica/albert-rivera-extrema-derecha-vox-respuesta-entrevista_206736102" TargetMode="External"/><Relationship Id="rId1229" Type="http://schemas.openxmlformats.org/officeDocument/2006/relationships/hyperlink" Target="https://curiouscat.me/maggierotzank" TargetMode="External"/><Relationship Id="rId1783" Type="http://schemas.openxmlformats.org/officeDocument/2006/relationships/hyperlink" Target="http://www.bitmomentum.com/" TargetMode="External"/><Relationship Id="rId1990" Type="http://schemas.openxmlformats.org/officeDocument/2006/relationships/hyperlink" Target="http://pic.twitter.com/SwAZuV6Aud" TargetMode="External"/><Relationship Id="rId2627" Type="http://schemas.openxmlformats.org/officeDocument/2006/relationships/hyperlink" Target="http://dlvr.it/Qrg76G" TargetMode="External"/><Relationship Id="rId75" Type="http://schemas.openxmlformats.org/officeDocument/2006/relationships/hyperlink" Target="https://www.instagram.com/albyfernandezcs" TargetMode="External"/><Relationship Id="rId806" Type="http://schemas.openxmlformats.org/officeDocument/2006/relationships/hyperlink" Target="https://www.elespanol.com/espana/20181122/albert-rivera-ayer-escupido-espana/355214760_0.html" TargetMode="External"/><Relationship Id="rId1436" Type="http://schemas.openxmlformats.org/officeDocument/2006/relationships/hyperlink" Target="http://www.ciudadanos-cs.org/" TargetMode="External"/><Relationship Id="rId1643" Type="http://schemas.openxmlformats.org/officeDocument/2006/relationships/hyperlink" Target="http://www.intereconomia.tv/" TargetMode="External"/><Relationship Id="rId1850" Type="http://schemas.openxmlformats.org/officeDocument/2006/relationships/hyperlink" Target="https://www.azamblea.org/" TargetMode="External"/><Relationship Id="rId1503" Type="http://schemas.openxmlformats.org/officeDocument/2006/relationships/hyperlink" Target="https://pbs.twimg.com/media/DsgwGuqU8AEeA9d.jpg" TargetMode="External"/><Relationship Id="rId1710" Type="http://schemas.openxmlformats.org/officeDocument/2006/relationships/hyperlink" Target="http://lascosasdellazaro.wordpress.com/" TargetMode="External"/><Relationship Id="rId1948" Type="http://schemas.openxmlformats.org/officeDocument/2006/relationships/hyperlink" Target="http://youtu.be/64sgFG9MlcI?a" TargetMode="External"/><Relationship Id="rId291" Type="http://schemas.openxmlformats.org/officeDocument/2006/relationships/hyperlink" Target="https://pbs.twimg.com/media/Dso1_TGU8AASQ0N.jpg" TargetMode="External"/><Relationship Id="rId1808" Type="http://schemas.openxmlformats.org/officeDocument/2006/relationships/hyperlink" Target="http://www.bitmomentum.com/" TargetMode="External"/><Relationship Id="rId151" Type="http://schemas.openxmlformats.org/officeDocument/2006/relationships/hyperlink" Target="https://twitter.com/gerardgomezf/status/1065662717082652675" TargetMode="External"/><Relationship Id="rId389" Type="http://schemas.openxmlformats.org/officeDocument/2006/relationships/hyperlink" Target="http://dlvr.it/Qrt34m" TargetMode="External"/><Relationship Id="rId596" Type="http://schemas.openxmlformats.org/officeDocument/2006/relationships/hyperlink" Target="http://flip.it/1tmw_0" TargetMode="External"/><Relationship Id="rId2277" Type="http://schemas.openxmlformats.org/officeDocument/2006/relationships/hyperlink" Target="https://pbs.twimg.com/media/Dsdtfo1XQAAZ9-p.jpg" TargetMode="External"/><Relationship Id="rId2484" Type="http://schemas.openxmlformats.org/officeDocument/2006/relationships/hyperlink" Target="https://www.elmundo.es/espana/2018/11/20/5bf3e474e2704ec6568b4825.html" TargetMode="External"/><Relationship Id="rId2691" Type="http://schemas.openxmlformats.org/officeDocument/2006/relationships/hyperlink" Target="http://a.msn.com/01/es-es/BBPTvWt?ocid=st" TargetMode="External"/><Relationship Id="rId249" Type="http://schemas.openxmlformats.org/officeDocument/2006/relationships/hyperlink" Target="https://digitalsevilla.com/2018/10/01/fracaso-absoluto-de-un-acto-de-albert-rivera-en-sevilla/" TargetMode="External"/><Relationship Id="rId456" Type="http://schemas.openxmlformats.org/officeDocument/2006/relationships/hyperlink" Target="https://columnacero.com/espana/17848/un-presentador-de-tv3-insinua-que-albert-rivera-se-droga-y-ciudadanos-responde-d/" TargetMode="External"/><Relationship Id="rId663" Type="http://schemas.openxmlformats.org/officeDocument/2006/relationships/hyperlink" Target="http://www.ciudadanos-cs.org/" TargetMode="External"/><Relationship Id="rId870" Type="http://schemas.openxmlformats.org/officeDocument/2006/relationships/hyperlink" Target="http://www.ciudadanos-cs.org/" TargetMode="External"/><Relationship Id="rId1086" Type="http://schemas.openxmlformats.org/officeDocument/2006/relationships/hyperlink" Target="http://www.elplural.com/" TargetMode="External"/><Relationship Id="rId1293" Type="http://schemas.openxmlformats.org/officeDocument/2006/relationships/hyperlink" Target="http://pic.twitter.com/X3b1I00HSo" TargetMode="External"/><Relationship Id="rId2137" Type="http://schemas.openxmlformats.org/officeDocument/2006/relationships/hyperlink" Target="https://www.youtube.com/c/ElPeriodistaCamorrista" TargetMode="External"/><Relationship Id="rId2344" Type="http://schemas.openxmlformats.org/officeDocument/2006/relationships/hyperlink" Target="http://pic.twitter.com/eifD0ixyQS" TargetMode="External"/><Relationship Id="rId2551" Type="http://schemas.openxmlformats.org/officeDocument/2006/relationships/hyperlink" Target="https://www.lasexta.com/programas/el-objetivo/maldita-hemeroteca/albert-rivera-diciembre-2015-voy-apoyar-gobierno-presidido-pedro-sanchez_201602285723ac7d4beb28d446fff85a.html" TargetMode="External"/><Relationship Id="rId2789" Type="http://schemas.openxmlformats.org/officeDocument/2006/relationships/hyperlink" Target="https://www.eljueves.es/news/albert-rivera-se-pasa-flamenco-para-conseguirse-unos-grammys-2_2958" TargetMode="External"/><Relationship Id="rId109" Type="http://schemas.openxmlformats.org/officeDocument/2006/relationships/hyperlink" Target="https://twitter.com/Mamengoes/status/1065716434414837760" TargetMode="External"/><Relationship Id="rId316" Type="http://schemas.openxmlformats.org/officeDocument/2006/relationships/hyperlink" Target="https://pbs.twimg.com/media/Dsout8xVAAE5vtd.jpg" TargetMode="External"/><Relationship Id="rId523" Type="http://schemas.openxmlformats.org/officeDocument/2006/relationships/hyperlink" Target="http://pic.twitter.com/fWmmDSnJea" TargetMode="External"/><Relationship Id="rId968" Type="http://schemas.openxmlformats.org/officeDocument/2006/relationships/hyperlink" Target="https://www.elplural.com/politica/albert-rivera-extrema-derecha-vox-respuesta-entrevista_206736102" TargetMode="External"/><Relationship Id="rId1153" Type="http://schemas.openxmlformats.org/officeDocument/2006/relationships/hyperlink" Target="http://www.caravacaaldia.com/" TargetMode="External"/><Relationship Id="rId1598" Type="http://schemas.openxmlformats.org/officeDocument/2006/relationships/hyperlink" Target="http://www.ciudadanos-cs.org/" TargetMode="External"/><Relationship Id="rId2204" Type="http://schemas.openxmlformats.org/officeDocument/2006/relationships/hyperlink" Target="https://goo.gl/DMmrNj" TargetMode="External"/><Relationship Id="rId2649" Type="http://schemas.openxmlformats.org/officeDocument/2006/relationships/hyperlink" Target="http://bit.ly/1nrkeN0" TargetMode="External"/><Relationship Id="rId97" Type="http://schemas.openxmlformats.org/officeDocument/2006/relationships/hyperlink" Target="http://fgl.com/" TargetMode="External"/><Relationship Id="rId730" Type="http://schemas.openxmlformats.org/officeDocument/2006/relationships/hyperlink" Target="https://www.ciudadanos-cs.org/prensa/rivera-con-un-corte-electoral-del-3-los-grupos-nacionalistas-que-insultan-a-espana-no-estarian-en-el-congreso/11099" TargetMode="External"/><Relationship Id="rId828" Type="http://schemas.openxmlformats.org/officeDocument/2006/relationships/hyperlink" Target="https://www.larioja.com/la-rioja/201511/22/riojanos-tienen-plantearse-quieren-20151122005510-v.html" TargetMode="External"/><Relationship Id="rId1013" Type="http://schemas.openxmlformats.org/officeDocument/2006/relationships/hyperlink" Target="http://www.bitmomentum.com/" TargetMode="External"/><Relationship Id="rId1360" Type="http://schemas.openxmlformats.org/officeDocument/2006/relationships/hyperlink" Target="http://fsa-psoe.org/" TargetMode="External"/><Relationship Id="rId1458" Type="http://schemas.openxmlformats.org/officeDocument/2006/relationships/hyperlink" Target="https://www.instagram.com/dsegoviaatienza/" TargetMode="External"/><Relationship Id="rId1665" Type="http://schemas.openxmlformats.org/officeDocument/2006/relationships/hyperlink" Target="https://pbs.twimg.com/media/DsgwGuqU8AEeA9d.jpg" TargetMode="External"/><Relationship Id="rId1872" Type="http://schemas.openxmlformats.org/officeDocument/2006/relationships/hyperlink" Target="https://www.huffingtonpost.es/2018/11/20/la-respuesta-de-atresmedia-a-albert-rivera-por-lo-que-ha-dicho-sobre-la-casa-de-papel_a_23594976/?ncid=other_twitter_cooo9wqtham&amp;utm_campaign=share_twitter" TargetMode="External"/><Relationship Id="rId2411" Type="http://schemas.openxmlformats.org/officeDocument/2006/relationships/hyperlink" Target="https://www.elmundo.es/espana/2018/11/20/5bf3e474e2704ec6568b4825.html" TargetMode="External"/><Relationship Id="rId2509" Type="http://schemas.openxmlformats.org/officeDocument/2006/relationships/hyperlink" Target="http://www.elnacional.cat/" TargetMode="External"/><Relationship Id="rId2716" Type="http://schemas.openxmlformats.org/officeDocument/2006/relationships/hyperlink" Target="https://www.elespanol.com/espana/tribunales/20181120/marchena-descarta-presidente-poder-judicial-reivindica-independencia/354714705_0.html" TargetMode="External"/><Relationship Id="rId1220" Type="http://schemas.openxmlformats.org/officeDocument/2006/relationships/hyperlink" Target="https://twitter.com/emilio_argueso/status/1065281947331686402" TargetMode="External"/><Relationship Id="rId1318" Type="http://schemas.openxmlformats.org/officeDocument/2006/relationships/hyperlink" Target="http://instagram.com/joanmg.93" TargetMode="External"/><Relationship Id="rId1525" Type="http://schemas.openxmlformats.org/officeDocument/2006/relationships/hyperlink" Target="https://twitter.com/predator_3334/status/1065201285597724672" TargetMode="External"/><Relationship Id="rId1732" Type="http://schemas.openxmlformats.org/officeDocument/2006/relationships/hyperlink" Target="http://www.victorriverola.com/" TargetMode="External"/><Relationship Id="rId24" Type="http://schemas.openxmlformats.org/officeDocument/2006/relationships/hyperlink" Target="https://pbs.twimg.com/media/Dssc8YVXcAAY6oS.png" TargetMode="External"/><Relationship Id="rId2299" Type="http://schemas.openxmlformats.org/officeDocument/2006/relationships/hyperlink" Target="https://twitter.com/espana_karmen/status/1064908324897005568" TargetMode="External"/><Relationship Id="rId173" Type="http://schemas.openxmlformats.org/officeDocument/2006/relationships/hyperlink" Target="https://www.elmundo.es/economia/macroeconomia/2018/11/21/5bf542fa46163f8e9e8b4669.html" TargetMode="External"/><Relationship Id="rId380" Type="http://schemas.openxmlformats.org/officeDocument/2006/relationships/hyperlink" Target="http://www.albertogomezvaquero.es/" TargetMode="External"/><Relationship Id="rId2061" Type="http://schemas.openxmlformats.org/officeDocument/2006/relationships/hyperlink" Target="https://twitter.com/404comunicacion/status/1055417316366782464" TargetMode="External"/><Relationship Id="rId240" Type="http://schemas.openxmlformats.org/officeDocument/2006/relationships/hyperlink" Target="http://pic.twitter.com/E0J3QEcEOy" TargetMode="External"/><Relationship Id="rId478" Type="http://schemas.openxmlformats.org/officeDocument/2006/relationships/hyperlink" Target="https://www.youtube.com/c/ElPeriodistaCamorrista" TargetMode="External"/><Relationship Id="rId685" Type="http://schemas.openxmlformats.org/officeDocument/2006/relationships/hyperlink" Target="https://www.elmundo.es/espana/2018/11/22/5bf6a067e5fdea356f8b4633.html" TargetMode="External"/><Relationship Id="rId892" Type="http://schemas.openxmlformats.org/officeDocument/2006/relationships/hyperlink" Target="http://youtu.be/3RktiXmHE5g?a" TargetMode="External"/><Relationship Id="rId2159" Type="http://schemas.openxmlformats.org/officeDocument/2006/relationships/hyperlink" Target="http://pic.twitter.com/UMkGx7xYEP" TargetMode="External"/><Relationship Id="rId2366" Type="http://schemas.openxmlformats.org/officeDocument/2006/relationships/hyperlink" Target="http://page.is/ppapanol" TargetMode="External"/><Relationship Id="rId2573" Type="http://schemas.openxmlformats.org/officeDocument/2006/relationships/hyperlink" Target="https://pbs.twimg.com/media/DsbvJm7VAAADxP9.jpg" TargetMode="External"/><Relationship Id="rId2780" Type="http://schemas.openxmlformats.org/officeDocument/2006/relationships/hyperlink" Target="http://facebook.com/juangilpodemos/" TargetMode="External"/><Relationship Id="rId100" Type="http://schemas.openxmlformats.org/officeDocument/2006/relationships/hyperlink" Target="http://www.elconfidencialdigital.com/" TargetMode="External"/><Relationship Id="rId338" Type="http://schemas.openxmlformats.org/officeDocument/2006/relationships/hyperlink" Target="https://www.esdiario.com/secciones/1/89/autor/autores.html" TargetMode="External"/><Relationship Id="rId545" Type="http://schemas.openxmlformats.org/officeDocument/2006/relationships/hyperlink" Target="https://pbs.twimg.com/media/DsnavsZWoAE7jcv.jpg" TargetMode="External"/><Relationship Id="rId752" Type="http://schemas.openxmlformats.org/officeDocument/2006/relationships/hyperlink" Target="https://pbs.twimg.com/media/DsmomAuWwAAONsI.jpg" TargetMode="External"/><Relationship Id="rId1175" Type="http://schemas.openxmlformats.org/officeDocument/2006/relationships/hyperlink" Target="http://www.bitmomentum.com/" TargetMode="External"/><Relationship Id="rId1382" Type="http://schemas.openxmlformats.org/officeDocument/2006/relationships/hyperlink" Target="http://www.huffingtonpost.es/" TargetMode="External"/><Relationship Id="rId2019" Type="http://schemas.openxmlformats.org/officeDocument/2006/relationships/hyperlink" Target="http://www.digitalangel.es/" TargetMode="External"/><Relationship Id="rId2226" Type="http://schemas.openxmlformats.org/officeDocument/2006/relationships/hyperlink" Target="https://youtu.be/Vvvq1GenBy4" TargetMode="External"/><Relationship Id="rId2433" Type="http://schemas.openxmlformats.org/officeDocument/2006/relationships/hyperlink" Target="http://pic.twitter.com/ANQxXQvHh8" TargetMode="External"/><Relationship Id="rId2640" Type="http://schemas.openxmlformats.org/officeDocument/2006/relationships/hyperlink" Target="http://pic.twitter.com/aMW5BZxNBn" TargetMode="External"/><Relationship Id="rId405" Type="http://schemas.openxmlformats.org/officeDocument/2006/relationships/hyperlink" Target="https://www.elmundo.es/espana/2018/11/22/5bf6a067e5fdea356f8b4633.html" TargetMode="External"/><Relationship Id="rId612" Type="http://schemas.openxmlformats.org/officeDocument/2006/relationships/hyperlink" Target="http://www.elmundo.es/espana/2018/11/22/5bf6a067e5fdea356f8b4633.html" TargetMode="External"/><Relationship Id="rId1035" Type="http://schemas.openxmlformats.org/officeDocument/2006/relationships/hyperlink" Target="https://twitter.com/esquerra_erc/status/1064949582600249350" TargetMode="External"/><Relationship Id="rId1242" Type="http://schemas.openxmlformats.org/officeDocument/2006/relationships/hyperlink" Target="https://youtu.be/V9YYQDqha-Q?voc25=2545870938" TargetMode="External"/><Relationship Id="rId1687" Type="http://schemas.openxmlformats.org/officeDocument/2006/relationships/hyperlink" Target="https://pbs.twimg.com/media/Dsg5kzfXgAANMg6.jpg" TargetMode="External"/><Relationship Id="rId1894" Type="http://schemas.openxmlformats.org/officeDocument/2006/relationships/hyperlink" Target="https://youtu.be/Vvvq1GenBy4" TargetMode="External"/><Relationship Id="rId2500" Type="http://schemas.openxmlformats.org/officeDocument/2006/relationships/hyperlink" Target="https://pbs.twimg.com/media/DsYvQ4pWkAE1rAx.jpg" TargetMode="External"/><Relationship Id="rId2738" Type="http://schemas.openxmlformats.org/officeDocument/2006/relationships/hyperlink" Target="https://www.huffingtonpost.es/2018/11/19/teresa-rodriguez-llama-albert-primo-de-rivera-a-albert-rivera_a_23594091/?ncid=other_twitter_cooo9wqtham&amp;utm_campaign=share_twitter" TargetMode="External"/><Relationship Id="rId917" Type="http://schemas.openxmlformats.org/officeDocument/2006/relationships/hyperlink" Target="http://www.bitmomentum.com/" TargetMode="External"/><Relationship Id="rId1102" Type="http://schemas.openxmlformats.org/officeDocument/2006/relationships/hyperlink" Target="http://elmundotalcomovapd.blogspot.com.es/" TargetMode="External"/><Relationship Id="rId1547" Type="http://schemas.openxmlformats.org/officeDocument/2006/relationships/hyperlink" Target="https://pbs.twimg.com/media/DsgwGuqU8AEeA9d.jpg" TargetMode="External"/><Relationship Id="rId1754" Type="http://schemas.openxmlformats.org/officeDocument/2006/relationships/hyperlink" Target="http://cadenaser.com/programa/2018/11/20/hoy_por_hoy/1542712340_800654.html" TargetMode="External"/><Relationship Id="rId1961" Type="http://schemas.openxmlformats.org/officeDocument/2006/relationships/hyperlink" Target="http://pic.twitter.com/cykhgVGqVg" TargetMode="External"/><Relationship Id="rId2805" Type="http://schemas.openxmlformats.org/officeDocument/2006/relationships/hyperlink" Target="https://pbs.twimg.com/media/DsZZw4NXgAEGrfR.jpg" TargetMode="External"/><Relationship Id="rId46" Type="http://schemas.openxmlformats.org/officeDocument/2006/relationships/hyperlink" Target="http://pic.twitter.com/44v5ZOZS4g" TargetMode="External"/><Relationship Id="rId1407" Type="http://schemas.openxmlformats.org/officeDocument/2006/relationships/hyperlink" Target="https://pbs.twimg.com/media/Dsh67qXWsAApN3v.jpg" TargetMode="External"/><Relationship Id="rId1614" Type="http://schemas.openxmlformats.org/officeDocument/2006/relationships/hyperlink" Target="https://pbs.twimg.com/media/DshL5TdWoAAHpne.jpg" TargetMode="External"/><Relationship Id="rId1821" Type="http://schemas.openxmlformats.org/officeDocument/2006/relationships/hyperlink" Target="http://www.ramblalibre.com/" TargetMode="External"/><Relationship Id="rId195" Type="http://schemas.openxmlformats.org/officeDocument/2006/relationships/hyperlink" Target="https://www.elmundo.es/espana/2018/11/22/5bf6a067e5fdea356f8b4633.html" TargetMode="External"/><Relationship Id="rId1919" Type="http://schemas.openxmlformats.org/officeDocument/2006/relationships/hyperlink" Target="https://twitter.com/GuajeSalvaje/status/1064954703992299523" TargetMode="External"/><Relationship Id="rId2083" Type="http://schemas.openxmlformats.org/officeDocument/2006/relationships/hyperlink" Target="http://www.ramblalibre.com/" TargetMode="External"/><Relationship Id="rId2290" Type="http://schemas.openxmlformats.org/officeDocument/2006/relationships/hyperlink" Target="https://pbs.twimg.com/media/DsdseP9WoAEy1-7.jpg" TargetMode="External"/><Relationship Id="rId2388" Type="http://schemas.openxmlformats.org/officeDocument/2006/relationships/hyperlink" Target="https://goo.gl/GFnpdY?drs42=7412613602" TargetMode="External"/><Relationship Id="rId2595" Type="http://schemas.openxmlformats.org/officeDocument/2006/relationships/hyperlink" Target="http://www.ciudadanos-cs.org/" TargetMode="External"/><Relationship Id="rId262" Type="http://schemas.openxmlformats.org/officeDocument/2006/relationships/hyperlink" Target="http://bit.ly/2FO4ND5" TargetMode="External"/><Relationship Id="rId567" Type="http://schemas.openxmlformats.org/officeDocument/2006/relationships/hyperlink" Target="https://elpais.com/politica/2018/11/21/actualidad/1542795112_974513.html" TargetMode="External"/><Relationship Id="rId1197" Type="http://schemas.openxmlformats.org/officeDocument/2006/relationships/hyperlink" Target="http://joseluisuriz.blogspot.com.es/" TargetMode="External"/><Relationship Id="rId2150" Type="http://schemas.openxmlformats.org/officeDocument/2006/relationships/hyperlink" Target="http://youtu.be/YiYsiclMwAs?a" TargetMode="External"/><Relationship Id="rId2248" Type="http://schemas.openxmlformats.org/officeDocument/2006/relationships/hyperlink" Target="http://pic.twitter.com/oWvNw0XEEB" TargetMode="External"/><Relationship Id="rId122" Type="http://schemas.openxmlformats.org/officeDocument/2006/relationships/hyperlink" Target="http://lalagunaahora.com/rivera-a-sanchez-se-le-ha-ido-de-las-manos-el-monstruo-de-frankenstein-que-construyo-con-rufian-iglesias-torra-y-bildu/" TargetMode="External"/><Relationship Id="rId774" Type="http://schemas.openxmlformats.org/officeDocument/2006/relationships/hyperlink" Target="http://www.lacerca.com/" TargetMode="External"/><Relationship Id="rId981" Type="http://schemas.openxmlformats.org/officeDocument/2006/relationships/hyperlink" Target="https://pbs.twimg.com/media/DsjzbAVW0AI8YgD.jpg" TargetMode="External"/><Relationship Id="rId1057" Type="http://schemas.openxmlformats.org/officeDocument/2006/relationships/hyperlink" Target="http://diario16.com/rivera-se-niega-calificar-vox-partido-extrema-derecha/" TargetMode="External"/><Relationship Id="rId2010" Type="http://schemas.openxmlformats.org/officeDocument/2006/relationships/hyperlink" Target="http://pic.twitter.com/yfb5BAvSXA" TargetMode="External"/><Relationship Id="rId2455" Type="http://schemas.openxmlformats.org/officeDocument/2006/relationships/hyperlink" Target="https://pbs.twimg.com/media/DscvoYkW0AAaQdZ.jpg" TargetMode="External"/><Relationship Id="rId2662" Type="http://schemas.openxmlformats.org/officeDocument/2006/relationships/hyperlink" Target="https://pbs.twimg.com/media/DsbvNqpXoAEfNBO.jpg" TargetMode="External"/><Relationship Id="rId427" Type="http://schemas.openxmlformats.org/officeDocument/2006/relationships/hyperlink" Target="https://www.youtube.com/c/ElPeriodistaCamorrista" TargetMode="External"/><Relationship Id="rId634" Type="http://schemas.openxmlformats.org/officeDocument/2006/relationships/hyperlink" Target="https://www.elmundo.es/espana/2018/11/22/5bf6a067e5fdea356f8b4633.html" TargetMode="External"/><Relationship Id="rId841" Type="http://schemas.openxmlformats.org/officeDocument/2006/relationships/hyperlink" Target="https://pbs.twimg.com/media/DsmDwXoWsAAUxo6.jpg" TargetMode="External"/><Relationship Id="rId1264" Type="http://schemas.openxmlformats.org/officeDocument/2006/relationships/hyperlink" Target="http://www.nohihadret.cat/" TargetMode="External"/><Relationship Id="rId1471" Type="http://schemas.openxmlformats.org/officeDocument/2006/relationships/hyperlink" Target="https://youtu.be/RQtT__tQB_4" TargetMode="External"/><Relationship Id="rId1569" Type="http://schemas.openxmlformats.org/officeDocument/2006/relationships/hyperlink" Target="https://pbs.twimg.com/media/DsgwGuqU8AEeA9d.jpg" TargetMode="External"/><Relationship Id="rId2108" Type="http://schemas.openxmlformats.org/officeDocument/2006/relationships/hyperlink" Target="https://youtu.be/D62g8svIjSc" TargetMode="External"/><Relationship Id="rId2315" Type="http://schemas.openxmlformats.org/officeDocument/2006/relationships/hyperlink" Target="http://canarias.ciudadanos-cs.org/" TargetMode="External"/><Relationship Id="rId2522" Type="http://schemas.openxmlformats.org/officeDocument/2006/relationships/hyperlink" Target="https://www.huffingtonpost.es/2018/11/19/teresa-rodriguez-llama-albert-primo-de-rivera-a-albert-rivera_a_23594091/" TargetMode="External"/><Relationship Id="rId701" Type="http://schemas.openxmlformats.org/officeDocument/2006/relationships/hyperlink" Target="https://ift.tt/2OUF76Z" TargetMode="External"/><Relationship Id="rId939" Type="http://schemas.openxmlformats.org/officeDocument/2006/relationships/hyperlink" Target="https://pbs.twimg.com/media/DskMUAIXoAEt7Pr.jpg" TargetMode="External"/><Relationship Id="rId1124" Type="http://schemas.openxmlformats.org/officeDocument/2006/relationships/hyperlink" Target="http://somatemps.me/2018/11/21/albert-rivera-y-manuel-valls-entran-en-crisis-valls-quiere-ponerle-cornamenta-con-el-psc/" TargetMode="External"/><Relationship Id="rId1331" Type="http://schemas.openxmlformats.org/officeDocument/2006/relationships/hyperlink" Target="http://pic.twitter.com/e9DhFxPRIA" TargetMode="External"/><Relationship Id="rId1776" Type="http://schemas.openxmlformats.org/officeDocument/2006/relationships/hyperlink" Target="https://pbs.twimg.com/media/DsgblxcXoAA8yO-.jpg" TargetMode="External"/><Relationship Id="rId1983" Type="http://schemas.openxmlformats.org/officeDocument/2006/relationships/hyperlink" Target="http://elperiodi.co/lkwos4" TargetMode="External"/><Relationship Id="rId68" Type="http://schemas.openxmlformats.org/officeDocument/2006/relationships/hyperlink" Target="http://pic.twitter.com/K8derbW7pW" TargetMode="External"/><Relationship Id="rId1429" Type="http://schemas.openxmlformats.org/officeDocument/2006/relationships/hyperlink" Target="https://www.publico.es/tremending/2018/11/21/por-que-albert-rivera-no-se-atreve-a-decir-que-vox-es-extrema-derecha-twitter-analiza-los-motivos/" TargetMode="External"/><Relationship Id="rId1636" Type="http://schemas.openxmlformats.org/officeDocument/2006/relationships/hyperlink" Target="https://www.ciudadanos-cs.org/prensa/rivera-sanchez-iglesias-y-junqueras-cambian-indultos-por-escanos-y-eso-es-inmoral/11085" TargetMode="External"/><Relationship Id="rId1843" Type="http://schemas.openxmlformats.org/officeDocument/2006/relationships/hyperlink" Target="https://pbs.twimg.com/media/DsfAnk0X4AA7_0-.jpg" TargetMode="External"/><Relationship Id="rId1703" Type="http://schemas.openxmlformats.org/officeDocument/2006/relationships/hyperlink" Target="https://www.youtube.com/saveyourinternet/?dclid=CNSW9auH5d4CFc_N3godI1MIEw" TargetMode="External"/><Relationship Id="rId1910" Type="http://schemas.openxmlformats.org/officeDocument/2006/relationships/hyperlink" Target="http://www.lacerca.com/" TargetMode="External"/><Relationship Id="rId284" Type="http://schemas.openxmlformats.org/officeDocument/2006/relationships/hyperlink" Target="https://www.instagram.com/crisnpatience/" TargetMode="External"/><Relationship Id="rId491" Type="http://schemas.openxmlformats.org/officeDocument/2006/relationships/hyperlink" Target="https://www.publico.es/tremending/2018/11/21/por-que-albert-rivera-no-se-atreve-a-decir-que-vox-es-extrema-derecha-twitter-analiza-los-motivos/" TargetMode="External"/><Relationship Id="rId2172" Type="http://schemas.openxmlformats.org/officeDocument/2006/relationships/hyperlink" Target="https://www.elmundo.es/loc/famosos/2018/11/20/5bf3e8f1e2704e5a8f8b483f.html" TargetMode="External"/><Relationship Id="rId144" Type="http://schemas.openxmlformats.org/officeDocument/2006/relationships/hyperlink" Target="https://pbs.twimg.com/media/DsrezunWkAAAlDo.jpg" TargetMode="External"/><Relationship Id="rId589" Type="http://schemas.openxmlformats.org/officeDocument/2006/relationships/hyperlink" Target="http://m.youtube.com/watch?v=eIZdaM2_xgI" TargetMode="External"/><Relationship Id="rId796" Type="http://schemas.openxmlformats.org/officeDocument/2006/relationships/hyperlink" Target="https://www.elespanol.com/espana/20181122/albert-rivera-ayer-escupido-espana/355214760_0.html" TargetMode="External"/><Relationship Id="rId2477" Type="http://schemas.openxmlformats.org/officeDocument/2006/relationships/hyperlink" Target="https://pbs.twimg.com/media/DscrS9fWwAEru91.jpg" TargetMode="External"/><Relationship Id="rId2684" Type="http://schemas.openxmlformats.org/officeDocument/2006/relationships/hyperlink" Target="https://www.huffingtonpost.es/2018/11/19/teresa-rodriguez-llama-albert-primo-de-rivera-a-albert-rivera_a_23594091/" TargetMode="External"/><Relationship Id="rId351" Type="http://schemas.openxmlformats.org/officeDocument/2006/relationships/hyperlink" Target="https://twitter.com/Albert_Rivera/status/1065514851747930112" TargetMode="External"/><Relationship Id="rId449" Type="http://schemas.openxmlformats.org/officeDocument/2006/relationships/hyperlink" Target="https://www.elmundo.es/espana/2018/11/22/5bf6a067e5fdea356f8b4633.html" TargetMode="External"/><Relationship Id="rId656" Type="http://schemas.openxmlformats.org/officeDocument/2006/relationships/hyperlink" Target="http://pic.twitter.com/bBP9NtePyQ" TargetMode="External"/><Relationship Id="rId863" Type="http://schemas.openxmlformats.org/officeDocument/2006/relationships/hyperlink" Target="http://www.ciudadanos-cs.org/" TargetMode="External"/><Relationship Id="rId1079" Type="http://schemas.openxmlformats.org/officeDocument/2006/relationships/hyperlink" Target="https://somatemps.me/2018/11/21/albert-rivera-y-manuel-valls-entran-en-crisis-valls-quiere-ponerle-cornamenta-con-el-psc/" TargetMode="External"/><Relationship Id="rId1286" Type="http://schemas.openxmlformats.org/officeDocument/2006/relationships/hyperlink" Target="http://instagram.com/joanmg.93" TargetMode="External"/><Relationship Id="rId1493" Type="http://schemas.openxmlformats.org/officeDocument/2006/relationships/hyperlink" Target="https://pbs.twimg.com/media/DshnuY5XQAANFaC.jpg" TargetMode="External"/><Relationship Id="rId2032" Type="http://schemas.openxmlformats.org/officeDocument/2006/relationships/hyperlink" Target="https://www.elindependiente.com/politica/2018/11/20/rivera-exige-disculpas-pp-psoe-pacto-la-verguenza-del-cppg/?utm_source=share_buttons&amp;utm_medium=twitter&amp;utm_campaign=social_share" TargetMode="External"/><Relationship Id="rId2337" Type="http://schemas.openxmlformats.org/officeDocument/2006/relationships/hyperlink" Target="https://pbs.twimg.com/media/DsdkUtEXoAAUSxv.jpg" TargetMode="External"/><Relationship Id="rId2544" Type="http://schemas.openxmlformats.org/officeDocument/2006/relationships/hyperlink" Target="https://pbs.twimg.com/media/DscGR62WoAAz02S.jpg" TargetMode="External"/><Relationship Id="rId211" Type="http://schemas.openxmlformats.org/officeDocument/2006/relationships/hyperlink" Target="https://pbs.twimg.com/media/Dsq017AXgAAc_KQ.jpg" TargetMode="External"/><Relationship Id="rId309" Type="http://schemas.openxmlformats.org/officeDocument/2006/relationships/hyperlink" Target="https://twitter.com/Toxicomania_/status/1065003614639439874" TargetMode="External"/><Relationship Id="rId516" Type="http://schemas.openxmlformats.org/officeDocument/2006/relationships/hyperlink" Target="https://www.ciudadanos-cs.org/" TargetMode="External"/><Relationship Id="rId1146" Type="http://schemas.openxmlformats.org/officeDocument/2006/relationships/hyperlink" Target="http://ow.ly/Ccxt30mHPtw" TargetMode="External"/><Relationship Id="rId1798" Type="http://schemas.openxmlformats.org/officeDocument/2006/relationships/hyperlink" Target="http://www.bitmomentum.com/" TargetMode="External"/><Relationship Id="rId2751" Type="http://schemas.openxmlformats.org/officeDocument/2006/relationships/hyperlink" Target="http://arribestaurinas.es/" TargetMode="External"/><Relationship Id="rId723" Type="http://schemas.openxmlformats.org/officeDocument/2006/relationships/hyperlink" Target="https://www.eldiario.es/_31f65118" TargetMode="External"/><Relationship Id="rId930" Type="http://schemas.openxmlformats.org/officeDocument/2006/relationships/hyperlink" Target="http://www.publico.es/" TargetMode="External"/><Relationship Id="rId1006" Type="http://schemas.openxmlformats.org/officeDocument/2006/relationships/hyperlink" Target="https://pbs.twimg.com/media/Dshn1UaWwAArLHO.jpg" TargetMode="External"/><Relationship Id="rId1353" Type="http://schemas.openxmlformats.org/officeDocument/2006/relationships/hyperlink" Target="https://www.publico.es/tremending/2018/11/21/por-que-albert-rivera-no-se-atreve-a-decir-que-vox-es-extrema-derecha-twitter-analiza-los-motivos/" TargetMode="External"/><Relationship Id="rId1560" Type="http://schemas.openxmlformats.org/officeDocument/2006/relationships/hyperlink" Target="https://pbs.twimg.com/media/Dsg5kzfXgAANMg6.jpg" TargetMode="External"/><Relationship Id="rId1658" Type="http://schemas.openxmlformats.org/officeDocument/2006/relationships/hyperlink" Target="https://www.eldiario.es/_31f566ee" TargetMode="External"/><Relationship Id="rId1865" Type="http://schemas.openxmlformats.org/officeDocument/2006/relationships/hyperlink" Target="https://twitter.com/Re_conecta/status/1064861137743855616" TargetMode="External"/><Relationship Id="rId2404" Type="http://schemas.openxmlformats.org/officeDocument/2006/relationships/hyperlink" Target="https://www.ciudadanos-cs.org/" TargetMode="External"/><Relationship Id="rId2611" Type="http://schemas.openxmlformats.org/officeDocument/2006/relationships/hyperlink" Target="https://youtu.be/V9YYQDqha-Q?iec24=1846833360" TargetMode="External"/><Relationship Id="rId2709" Type="http://schemas.openxmlformats.org/officeDocument/2006/relationships/hyperlink" Target="http://www.ciudadanos-cs.org/" TargetMode="External"/><Relationship Id="rId1213" Type="http://schemas.openxmlformats.org/officeDocument/2006/relationships/hyperlink" Target="http://www.publico.es/" TargetMode="External"/><Relationship Id="rId1420" Type="http://schemas.openxmlformats.org/officeDocument/2006/relationships/hyperlink" Target="http://afrikawinslet.blogspot.com/" TargetMode="External"/><Relationship Id="rId1518" Type="http://schemas.openxmlformats.org/officeDocument/2006/relationships/hyperlink" Target="https://pbs.twimg.com/media/DsgwGuqU8AEeA9d.jpg" TargetMode="External"/><Relationship Id="rId1725" Type="http://schemas.openxmlformats.org/officeDocument/2006/relationships/hyperlink" Target="http://jordipsalvador.info/" TargetMode="External"/><Relationship Id="rId1932" Type="http://schemas.openxmlformats.org/officeDocument/2006/relationships/hyperlink" Target="http://roquetasdemar.ciudadanos-cs.org/" TargetMode="External"/><Relationship Id="rId17" Type="http://schemas.openxmlformats.org/officeDocument/2006/relationships/hyperlink" Target="http://www.noticias24horas.com/ue-albert-rivera-presente-una-mocion-de-censura-o-llegue-a-acuerdos-sobre-lo-acordado-psoe-podemos/" TargetMode="External"/><Relationship Id="rId2194" Type="http://schemas.openxmlformats.org/officeDocument/2006/relationships/hyperlink" Target="http://pic.twitter.com/ROB8g256nN" TargetMode="External"/><Relationship Id="rId166" Type="http://schemas.openxmlformats.org/officeDocument/2006/relationships/hyperlink" Target="https://blogs.publico.es/econonuestra/2018/11/23/manila-ciudad-de-albert-rivera/" TargetMode="External"/><Relationship Id="rId373" Type="http://schemas.openxmlformats.org/officeDocument/2006/relationships/hyperlink" Target="https://twitter.com/Albert_Rivera/status/1065580497613537281" TargetMode="External"/><Relationship Id="rId580" Type="http://schemas.openxmlformats.org/officeDocument/2006/relationships/hyperlink" Target="http://shr.gs/UQ5jQbP" TargetMode="External"/><Relationship Id="rId2054" Type="http://schemas.openxmlformats.org/officeDocument/2006/relationships/hyperlink" Target="https://castellersdesparreguera.cat/" TargetMode="External"/><Relationship Id="rId2261" Type="http://schemas.openxmlformats.org/officeDocument/2006/relationships/hyperlink" Target="http://www.elblogdecampillo.blogspot.com/" TargetMode="External"/><Relationship Id="rId2499" Type="http://schemas.openxmlformats.org/officeDocument/2006/relationships/hyperlink" Target="http://contracobardes.blogspot.com.es/?m=1" TargetMode="External"/><Relationship Id="rId1" Type="http://schemas.openxmlformats.org/officeDocument/2006/relationships/hyperlink" Target="https://twitter.com/CiudadanosCs/status/1065943158192840704" TargetMode="External"/><Relationship Id="rId233" Type="http://schemas.openxmlformats.org/officeDocument/2006/relationships/hyperlink" Target="http://www.bitmomentum.com/" TargetMode="External"/><Relationship Id="rId440" Type="http://schemas.openxmlformats.org/officeDocument/2006/relationships/hyperlink" Target="https://www.elmundo.es/espana/2018/11/22/5bf6a067e5fdea356f8b4633.html" TargetMode="External"/><Relationship Id="rId678" Type="http://schemas.openxmlformats.org/officeDocument/2006/relationships/hyperlink" Target="http://pic.twitter.com/OvI220uLRW" TargetMode="External"/><Relationship Id="rId885" Type="http://schemas.openxmlformats.org/officeDocument/2006/relationships/hyperlink" Target="http://www.rtve.es/losdesayunos" TargetMode="External"/><Relationship Id="rId1070" Type="http://schemas.openxmlformats.org/officeDocument/2006/relationships/hyperlink" Target="https://pbs.twimg.com/media/DsgwGuqU8AEeA9d.jpg" TargetMode="External"/><Relationship Id="rId2121" Type="http://schemas.openxmlformats.org/officeDocument/2006/relationships/hyperlink" Target="http://pic.twitter.com/6Vkk2H4Kf4" TargetMode="External"/><Relationship Id="rId2359" Type="http://schemas.openxmlformats.org/officeDocument/2006/relationships/hyperlink" Target="https://pbs.twimg.com/media/DsdhBpBWkAA1LCM.jpg" TargetMode="External"/><Relationship Id="rId2566" Type="http://schemas.openxmlformats.org/officeDocument/2006/relationships/hyperlink" Target="https://www.elmundo.es/cataluna/2018/11/20/5bf30ac5468aeb7a7e8b4607.html" TargetMode="External"/><Relationship Id="rId2773" Type="http://schemas.openxmlformats.org/officeDocument/2006/relationships/hyperlink" Target="https://pbs.twimg.com/media/DsZmloGWwAAtEQF.jpg" TargetMode="External"/><Relationship Id="rId300" Type="http://schemas.openxmlformats.org/officeDocument/2006/relationships/hyperlink" Target="https://www.ciudadanos-cs.org/" TargetMode="External"/><Relationship Id="rId538" Type="http://schemas.openxmlformats.org/officeDocument/2006/relationships/hyperlink" Target="https://m.eldiario.es/andalucia/Ciudadanos_0_828718257.html" TargetMode="External"/><Relationship Id="rId745" Type="http://schemas.openxmlformats.org/officeDocument/2006/relationships/hyperlink" Target="http://partidofantasma.bandcamp.com/" TargetMode="External"/><Relationship Id="rId952" Type="http://schemas.openxmlformats.org/officeDocument/2006/relationships/hyperlink" Target="http://dlvr.it/Qrpf6W" TargetMode="External"/><Relationship Id="rId1168" Type="http://schemas.openxmlformats.org/officeDocument/2006/relationships/hyperlink" Target="http://pic.twitter.com/dAKAbV3hmj" TargetMode="External"/><Relationship Id="rId1375" Type="http://schemas.openxmlformats.org/officeDocument/2006/relationships/hyperlink" Target="https://pbs.twimg.com/media/Dsh22XiW0AA2doP.jpg" TargetMode="External"/><Relationship Id="rId1582" Type="http://schemas.openxmlformats.org/officeDocument/2006/relationships/hyperlink" Target="https://www.youtube.com/c/MiguelArranz" TargetMode="External"/><Relationship Id="rId2219" Type="http://schemas.openxmlformats.org/officeDocument/2006/relationships/hyperlink" Target="http://dlvr.it/Qrj8Z2" TargetMode="External"/><Relationship Id="rId2426" Type="http://schemas.openxmlformats.org/officeDocument/2006/relationships/hyperlink" Target="https://www.eldigitalcastillalamancha.es/actualidad/824864035/Contundente-respuesta-de-Abalos-a-Page-por-el-guino-que-hizo-a-Albert-Rivera.html" TargetMode="External"/><Relationship Id="rId2633" Type="http://schemas.openxmlformats.org/officeDocument/2006/relationships/hyperlink" Target="http://pic.twitter.com/WaiDFYFQWV" TargetMode="External"/><Relationship Id="rId81" Type="http://schemas.openxmlformats.org/officeDocument/2006/relationships/hyperlink" Target="https://pbs.twimg.com/media/Dsr7TBYXcAcubXN.jpg" TargetMode="External"/><Relationship Id="rId605" Type="http://schemas.openxmlformats.org/officeDocument/2006/relationships/hyperlink" Target="http://edp.cat/" TargetMode="External"/><Relationship Id="rId812" Type="http://schemas.openxmlformats.org/officeDocument/2006/relationships/hyperlink" Target="https://pbs.twimg.com/media/DsmMwyfXcAAX6mZ.jpg" TargetMode="External"/><Relationship Id="rId1028" Type="http://schemas.openxmlformats.org/officeDocument/2006/relationships/hyperlink" Target="http://pic.twitter.com/q5HfxD4M3G" TargetMode="External"/><Relationship Id="rId1235" Type="http://schemas.openxmlformats.org/officeDocument/2006/relationships/hyperlink" Target="http://pic.twitter.com/dtU4Or36oG" TargetMode="External"/><Relationship Id="rId1442" Type="http://schemas.openxmlformats.org/officeDocument/2006/relationships/hyperlink" Target="http://drafabianalemos.com/" TargetMode="External"/><Relationship Id="rId1887" Type="http://schemas.openxmlformats.org/officeDocument/2006/relationships/hyperlink" Target="https://pbs.twimg.com/media/DseriaSWkAADsyT.jpg" TargetMode="External"/><Relationship Id="rId1302" Type="http://schemas.openxmlformats.org/officeDocument/2006/relationships/hyperlink" Target="https://twitter.com/jordiborras/status/1065207080410365952" TargetMode="External"/><Relationship Id="rId1747" Type="http://schemas.openxmlformats.org/officeDocument/2006/relationships/hyperlink" Target="https://twitter.com/SimbadSud/status/1064986298438569984" TargetMode="External"/><Relationship Id="rId1954" Type="http://schemas.openxmlformats.org/officeDocument/2006/relationships/hyperlink" Target="https://pbs.twimg.com/media/DseUzNhWkAAWB5W.jpg" TargetMode="External"/><Relationship Id="rId2700" Type="http://schemas.openxmlformats.org/officeDocument/2006/relationships/hyperlink" Target="https://www.elmundo.es/cataluna/2018/11/20/5bf30ac5468aeb7a7e8b4607.html" TargetMode="External"/><Relationship Id="rId39" Type="http://schemas.openxmlformats.org/officeDocument/2006/relationships/hyperlink" Target="https://elpais.com/politica/2018/11/22/actualidad/1542918215_318951.html" TargetMode="External"/><Relationship Id="rId1607" Type="http://schemas.openxmlformats.org/officeDocument/2006/relationships/hyperlink" Target="https://www.instagram.com/dsegoviaatienza/" TargetMode="External"/><Relationship Id="rId1814" Type="http://schemas.openxmlformats.org/officeDocument/2006/relationships/hyperlink" Target="http://www.huffingtonpost.es/" TargetMode="External"/><Relationship Id="rId188" Type="http://schemas.openxmlformats.org/officeDocument/2006/relationships/hyperlink" Target="https://ift.tt/2FMkevw" TargetMode="External"/><Relationship Id="rId395" Type="http://schemas.openxmlformats.org/officeDocument/2006/relationships/hyperlink" Target="https://www.europapress.es/nacional/noticia-rivera-exfiscal-ignacio-gordillo-frente-acto-sabado-madrid-contra-indultos-independentistas-20181122164813.html" TargetMode="External"/><Relationship Id="rId2076" Type="http://schemas.openxmlformats.org/officeDocument/2006/relationships/hyperlink" Target="http://ciudadanos-cs.org/" TargetMode="External"/><Relationship Id="rId2283" Type="http://schemas.openxmlformats.org/officeDocument/2006/relationships/hyperlink" Target="http://cantabria.ciudadanos-cs.org/" TargetMode="External"/><Relationship Id="rId2490" Type="http://schemas.openxmlformats.org/officeDocument/2006/relationships/hyperlink" Target="https://pbs.twimg.com/media/DscP5ZvWwAAqz49.jpg" TargetMode="External"/><Relationship Id="rId2588" Type="http://schemas.openxmlformats.org/officeDocument/2006/relationships/hyperlink" Target="http://www.eldiadigital.es/" TargetMode="External"/><Relationship Id="rId255" Type="http://schemas.openxmlformats.org/officeDocument/2006/relationships/hyperlink" Target="https://pbs.twimg.com/media/Dso5Y_7UUAAYfJZ.jpg" TargetMode="External"/><Relationship Id="rId462" Type="http://schemas.openxmlformats.org/officeDocument/2006/relationships/hyperlink" Target="https://spiral.imperial.ac.uk/bitstream/10044/1/1333/1/May-BH-2007-PhD-Thesis.pdf?fbclid=IwAR3SMrttJdwOYd5ei5I4PShm7NcSbRjq4m_FXCkuyvnPpyQ8EfUhgFJBzCw" TargetMode="External"/><Relationship Id="rId1092" Type="http://schemas.openxmlformats.org/officeDocument/2006/relationships/hyperlink" Target="https://pbs.twimg.com/media/DsjN7JiWoAAYO7E.jpg" TargetMode="External"/><Relationship Id="rId1397" Type="http://schemas.openxmlformats.org/officeDocument/2006/relationships/hyperlink" Target="https://pbs.twimg.com/media/Dsh8afcXQAImyij.jpg" TargetMode="External"/><Relationship Id="rId2143" Type="http://schemas.openxmlformats.org/officeDocument/2006/relationships/hyperlink" Target="http://pic.twitter.com/nyg2hmR8xK" TargetMode="External"/><Relationship Id="rId2350" Type="http://schemas.openxmlformats.org/officeDocument/2006/relationships/hyperlink" Target="http://guadalajara.ciudadanos-cs.org/" TargetMode="External"/><Relationship Id="rId2795" Type="http://schemas.openxmlformats.org/officeDocument/2006/relationships/hyperlink" Target="https://elmetropolitanodemadrid.blogspot.com/2018/11/una-madre-tiene-que-dormir-con-su-hijo.html?m=1" TargetMode="External"/><Relationship Id="rId115" Type="http://schemas.openxmlformats.org/officeDocument/2006/relationships/hyperlink" Target="https://www.elmundo.es/espana/2018/11/22/5bf6a067e5fdea356f8b4633.html" TargetMode="External"/><Relationship Id="rId322" Type="http://schemas.openxmlformats.org/officeDocument/2006/relationships/hyperlink" Target="https://youtu.be/Vn5QOJG3_SM" TargetMode="External"/><Relationship Id="rId767" Type="http://schemas.openxmlformats.org/officeDocument/2006/relationships/hyperlink" Target="https://www.jotdown.es/2018/02/murcia-una-escena-teatral-con-denominacion-de-origen/" TargetMode="External"/><Relationship Id="rId974" Type="http://schemas.openxmlformats.org/officeDocument/2006/relationships/hyperlink" Target="https://twitter.com/Albert_Rivera/status/1065311816883085314" TargetMode="External"/><Relationship Id="rId2003" Type="http://schemas.openxmlformats.org/officeDocument/2006/relationships/hyperlink" Target="http://pic.twitter.com/CBFHzh8k87" TargetMode="External"/><Relationship Id="rId2210" Type="http://schemas.openxmlformats.org/officeDocument/2006/relationships/hyperlink" Target="https://twitter.com/CiudadanosCs/status/1064940205654855681" TargetMode="External"/><Relationship Id="rId2448" Type="http://schemas.openxmlformats.org/officeDocument/2006/relationships/hyperlink" Target="http://pic.twitter.com/nYZAnE0ihg" TargetMode="External"/><Relationship Id="rId2655" Type="http://schemas.openxmlformats.org/officeDocument/2006/relationships/hyperlink" Target="https://pbs.twimg.com/media/Dsbvp0nWsAI6KGz.jpg" TargetMode="External"/><Relationship Id="rId627" Type="http://schemas.openxmlformats.org/officeDocument/2006/relationships/hyperlink" Target="https://www.elmundo.es/espana/2018/11/22/5bf6a067e5fdea356f8b4633.html" TargetMode="External"/><Relationship Id="rId834" Type="http://schemas.openxmlformats.org/officeDocument/2006/relationships/hyperlink" Target="http://www.bitmomentum.com/" TargetMode="External"/><Relationship Id="rId1257" Type="http://schemas.openxmlformats.org/officeDocument/2006/relationships/hyperlink" Target="http://www.publico.es/" TargetMode="External"/><Relationship Id="rId1464" Type="http://schemas.openxmlformats.org/officeDocument/2006/relationships/hyperlink" Target="https://pbs.twimg.com/media/DsgwGuqU8AEeA9d.jpg" TargetMode="External"/><Relationship Id="rId1671" Type="http://schemas.openxmlformats.org/officeDocument/2006/relationships/hyperlink" Target="http://elmundotalcomovapd.blogspot.com.es/" TargetMode="External"/><Relationship Id="rId2308" Type="http://schemas.openxmlformats.org/officeDocument/2006/relationships/hyperlink" Target="https://www.ciudadanos-cs.org/" TargetMode="External"/><Relationship Id="rId2515" Type="http://schemas.openxmlformats.org/officeDocument/2006/relationships/hyperlink" Target="https://www.elnacional.cat/enblau/es/television/susanna-griso-albert-rivera-luis-alfonso-borbon_326550_102.html" TargetMode="External"/><Relationship Id="rId2722" Type="http://schemas.openxmlformats.org/officeDocument/2006/relationships/hyperlink" Target="http://www.elmundo.es/cataluna/2018/11/20/5bf30ac5468aeb7a7e8b4607.html" TargetMode="External"/><Relationship Id="rId901" Type="http://schemas.openxmlformats.org/officeDocument/2006/relationships/hyperlink" Target="https://www.publico.es/tremending/2018/11/21/por-que-albert-rivera-no-se-atreve-a-decir-que-vox-es-extrema-derecha-twitter-analiza-los-motivos/" TargetMode="External"/><Relationship Id="rId1117" Type="http://schemas.openxmlformats.org/officeDocument/2006/relationships/hyperlink" Target="http://www.linkedin.com/in/bertaisabelcuadradoalvarez" TargetMode="External"/><Relationship Id="rId1324" Type="http://schemas.openxmlformats.org/officeDocument/2006/relationships/hyperlink" Target="https://www.facebook.com/psoefondon/videos/490832538086614/" TargetMode="External"/><Relationship Id="rId1531" Type="http://schemas.openxmlformats.org/officeDocument/2006/relationships/hyperlink" Target="https://twitter.com/La_SER/status/1065167169984577542" TargetMode="External"/><Relationship Id="rId1769" Type="http://schemas.openxmlformats.org/officeDocument/2006/relationships/hyperlink" Target="https://www.elmundo.es/opinion/2018/11/20/5bf45cdce5fdeae1388b4662.html" TargetMode="External"/><Relationship Id="rId1976" Type="http://schemas.openxmlformats.org/officeDocument/2006/relationships/hyperlink" Target="https://youtu.be/juba6tfIxxs" TargetMode="External"/><Relationship Id="rId30" Type="http://schemas.openxmlformats.org/officeDocument/2006/relationships/hyperlink" Target="https://twitter.com/joanbaldovi/status/1065943188660256769" TargetMode="External"/><Relationship Id="rId1629" Type="http://schemas.openxmlformats.org/officeDocument/2006/relationships/hyperlink" Target="https://pbs.twimg.com/media/DshIturWoAA3e7d.jpg" TargetMode="External"/><Relationship Id="rId1836" Type="http://schemas.openxmlformats.org/officeDocument/2006/relationships/hyperlink" Target="http://elperiodi.co/lkwos5" TargetMode="External"/><Relationship Id="rId1903" Type="http://schemas.openxmlformats.org/officeDocument/2006/relationships/hyperlink" Target="https://youtu.be/juba6tfIxxs" TargetMode="External"/><Relationship Id="rId2098" Type="http://schemas.openxmlformats.org/officeDocument/2006/relationships/hyperlink" Target="https://www.elindependiente.com/politica/2018/11/20/tarda-rivera-cada-vez-nos-llame-golpistas-le-llamaremos-fascista/?utm_source=share_buttons&amp;utm_medium=twitter&amp;utm_campaign=social_share2" TargetMode="External"/><Relationship Id="rId277" Type="http://schemas.openxmlformats.org/officeDocument/2006/relationships/hyperlink" Target="https://www.elconfidencial.com/elecciones-andalucia/2018-11-22/sevilla-acto-diaz-taxistas_1663806/" TargetMode="External"/><Relationship Id="rId484" Type="http://schemas.openxmlformats.org/officeDocument/2006/relationships/hyperlink" Target="https://www.ciudadanos-cs.org/" TargetMode="External"/><Relationship Id="rId2165" Type="http://schemas.openxmlformats.org/officeDocument/2006/relationships/hyperlink" Target="http://www.telecinco.es/informativos" TargetMode="External"/><Relationship Id="rId137" Type="http://schemas.openxmlformats.org/officeDocument/2006/relationships/hyperlink" Target="https://www.esdiario.com/170685726/Rivera-le-recuerda-a-Iglesias-que-el-Rey-saca-mejor-nota-que-el-en-las-encuestas.html" TargetMode="External"/><Relationship Id="rId344" Type="http://schemas.openxmlformats.org/officeDocument/2006/relationships/hyperlink" Target="https://pbs.twimg.com/media/DsoboS6U4AALj3G.jpg" TargetMode="External"/><Relationship Id="rId691" Type="http://schemas.openxmlformats.org/officeDocument/2006/relationships/hyperlink" Target="http://www.instagram.com/dani_lovsky" TargetMode="External"/><Relationship Id="rId789" Type="http://schemas.openxmlformats.org/officeDocument/2006/relationships/hyperlink" Target="https://www.lapandereta.es/albert-rivera-evita-por-todos-los-medios-calificar-a-vox-de-extrema-derecha/?fbclid=IwAR0fkhbHZS6WI2wymk5ijI73dSeQBWrbxgruMQ_xlmn65JIRrZyfjGZ_G0A" TargetMode="External"/><Relationship Id="rId996" Type="http://schemas.openxmlformats.org/officeDocument/2006/relationships/hyperlink" Target="https://pbs.twimg.com/media/DsjqCFZWkAIXFsu.jpg" TargetMode="External"/><Relationship Id="rId2025" Type="http://schemas.openxmlformats.org/officeDocument/2006/relationships/hyperlink" Target="http://youtu.be/IAFobxjDQqY?a" TargetMode="External"/><Relationship Id="rId2372" Type="http://schemas.openxmlformats.org/officeDocument/2006/relationships/hyperlink" Target="https://pbs.twimg.com/media/DsdWBNHVYAAsOSi.jpg" TargetMode="External"/><Relationship Id="rId2677" Type="http://schemas.openxmlformats.org/officeDocument/2006/relationships/hyperlink" Target="http://pic.twitter.com/9zCpmn6oHf" TargetMode="External"/><Relationship Id="rId551" Type="http://schemas.openxmlformats.org/officeDocument/2006/relationships/hyperlink" Target="http://aragon.ciudadanos-cs.org/" TargetMode="External"/><Relationship Id="rId649" Type="http://schemas.openxmlformats.org/officeDocument/2006/relationships/hyperlink" Target="http://www.elperiodico.com/es/politica" TargetMode="External"/><Relationship Id="rId856" Type="http://schemas.openxmlformats.org/officeDocument/2006/relationships/hyperlink" Target="http://mediterraneo.diario16.com/ciudadanos-reconoce-representan-al-ibex-35/" TargetMode="External"/><Relationship Id="rId1181" Type="http://schemas.openxmlformats.org/officeDocument/2006/relationships/hyperlink" Target="https://twitter.com/mlalanda/status/1065167563305431041" TargetMode="External"/><Relationship Id="rId1279" Type="http://schemas.openxmlformats.org/officeDocument/2006/relationships/hyperlink" Target="https://pbs.twimg.com/media/DshXSyYW0AAjGQW.jpg" TargetMode="External"/><Relationship Id="rId1486" Type="http://schemas.openxmlformats.org/officeDocument/2006/relationships/hyperlink" Target="http://www.telemadrid.es/emision-en-directo/" TargetMode="External"/><Relationship Id="rId2232" Type="http://schemas.openxmlformats.org/officeDocument/2006/relationships/hyperlink" Target="http://pic.twitter.com/GdKu3t9CCH" TargetMode="External"/><Relationship Id="rId2537" Type="http://schemas.openxmlformats.org/officeDocument/2006/relationships/hyperlink" Target="https://pbs.twimg.com/media/DscbVYaXgAUFRw4.jpg" TargetMode="External"/><Relationship Id="rId204" Type="http://schemas.openxmlformats.org/officeDocument/2006/relationships/hyperlink" Target="https://pbs.twimg.com/media/Dsq6LPnWoAANxdQ.jpg" TargetMode="External"/><Relationship Id="rId411" Type="http://schemas.openxmlformats.org/officeDocument/2006/relationships/hyperlink" Target="https://bit.ly/2DSAPM5" TargetMode="External"/><Relationship Id="rId509" Type="http://schemas.openxmlformats.org/officeDocument/2006/relationships/hyperlink" Target="http://pic.twitter.com/Klw38Zwg6I" TargetMode="External"/><Relationship Id="rId1041" Type="http://schemas.openxmlformats.org/officeDocument/2006/relationships/hyperlink" Target="http://jonmikel.blogcindario.com/" TargetMode="External"/><Relationship Id="rId1139" Type="http://schemas.openxmlformats.org/officeDocument/2006/relationships/hyperlink" Target="https://www.youtube.com/attribution_link?a=B37EHw9PSJQ&amp;u=%2Fwatch%3Fv%3D3RktiXmHE5g%26feature%3Dshare" TargetMode="External"/><Relationship Id="rId1346" Type="http://schemas.openxmlformats.org/officeDocument/2006/relationships/hyperlink" Target="http://carlosjai.me/" TargetMode="External"/><Relationship Id="rId1693" Type="http://schemas.openxmlformats.org/officeDocument/2006/relationships/hyperlink" Target="http://www.fcbarcelona.cat/" TargetMode="External"/><Relationship Id="rId1998" Type="http://schemas.openxmlformats.org/officeDocument/2006/relationships/hyperlink" Target="https://twitter.com/CientificoenEsp/status/1064884945783537664" TargetMode="External"/><Relationship Id="rId2744" Type="http://schemas.openxmlformats.org/officeDocument/2006/relationships/hyperlink" Target="http://rokambol.com/hallan-caspa-de-mariano-rajoy-en-la-nariz-de-albert-rivera/" TargetMode="External"/><Relationship Id="rId716" Type="http://schemas.openxmlformats.org/officeDocument/2006/relationships/hyperlink" Target="https://noticierouniversal.com/actualidad/albert-rivera-en-el-2017-montar-un-autobus-no-es-hacer-oposicion-es-un-show/" TargetMode="External"/><Relationship Id="rId923" Type="http://schemas.openxmlformats.org/officeDocument/2006/relationships/hyperlink" Target="https://pbs.twimg.com/media/DshvpkJX4AEZpod.jpg" TargetMode="External"/><Relationship Id="rId1553" Type="http://schemas.openxmlformats.org/officeDocument/2006/relationships/hyperlink" Target="http://informe2017.coordinadoraongd.org/" TargetMode="External"/><Relationship Id="rId1760" Type="http://schemas.openxmlformats.org/officeDocument/2006/relationships/hyperlink" Target="http://www.hoyporhoy.es/" TargetMode="External"/><Relationship Id="rId1858" Type="http://schemas.openxmlformats.org/officeDocument/2006/relationships/hyperlink" Target="http://youtu.be/Vvvq1GenBy4?a" TargetMode="External"/><Relationship Id="rId2604" Type="http://schemas.openxmlformats.org/officeDocument/2006/relationships/hyperlink" Target="http://www.elplural.com/" TargetMode="External"/><Relationship Id="rId52" Type="http://schemas.openxmlformats.org/officeDocument/2006/relationships/hyperlink" Target="http://pic.twitter.com/dmHqVIp8AY" TargetMode="External"/><Relationship Id="rId1206" Type="http://schemas.openxmlformats.org/officeDocument/2006/relationships/hyperlink" Target="https://twitter.com/Albert_Rivera/status/1064950502423740417" TargetMode="External"/><Relationship Id="rId1413" Type="http://schemas.openxmlformats.org/officeDocument/2006/relationships/hyperlink" Target="https://pbs.twimg.com/media/Dsh4gNrWkAE0H14.jpg" TargetMode="External"/><Relationship Id="rId1620" Type="http://schemas.openxmlformats.org/officeDocument/2006/relationships/hyperlink" Target="http://pic.twitter.com/7KwYB530pA" TargetMode="External"/><Relationship Id="rId1718" Type="http://schemas.openxmlformats.org/officeDocument/2006/relationships/hyperlink" Target="https://pbs.twimg.com/media/DsgwOruXoAAvniB.jpg" TargetMode="External"/><Relationship Id="rId1925" Type="http://schemas.openxmlformats.org/officeDocument/2006/relationships/hyperlink" Target="https://youtu.be/NVSW54BAaOM" TargetMode="External"/><Relationship Id="rId299" Type="http://schemas.openxmlformats.org/officeDocument/2006/relationships/hyperlink" Target="http://pic.twitter.com/RomoMI4mN4" TargetMode="External"/><Relationship Id="rId2187" Type="http://schemas.openxmlformats.org/officeDocument/2006/relationships/hyperlink" Target="http://youtu.be/jTEDjPDds90?a" TargetMode="External"/><Relationship Id="rId2394" Type="http://schemas.openxmlformats.org/officeDocument/2006/relationships/hyperlink" Target="https://pbs.twimg.com/media/DsdK8ZMX4AA3Jza.jpg" TargetMode="External"/><Relationship Id="rId159" Type="http://schemas.openxmlformats.org/officeDocument/2006/relationships/hyperlink" Target="https://twitter.com/archillect/status/1065902793536532480" TargetMode="External"/><Relationship Id="rId366" Type="http://schemas.openxmlformats.org/officeDocument/2006/relationships/hyperlink" Target="https://pbs.twimg.com/media/DsoSNFDW0AALE5_.jpg" TargetMode="External"/><Relationship Id="rId573" Type="http://schemas.openxmlformats.org/officeDocument/2006/relationships/hyperlink" Target="https://perdidue.com/2018/11/20/la-realidad-de-muchos-centros-sanitarios-en-espana-que-los-pacientes-teneis-que-conocer/" TargetMode="External"/><Relationship Id="rId780" Type="http://schemas.openxmlformats.org/officeDocument/2006/relationships/hyperlink" Target="http://www.bitmomentum.com/" TargetMode="External"/><Relationship Id="rId2047" Type="http://schemas.openxmlformats.org/officeDocument/2006/relationships/hyperlink" Target="http://pic.twitter.com/irRQlwKg8N" TargetMode="External"/><Relationship Id="rId2254" Type="http://schemas.openxmlformats.org/officeDocument/2006/relationships/hyperlink" Target="https://www.youtube.com/channel/UCCx9Dm5y3XklFmIq4thw_SQ" TargetMode="External"/><Relationship Id="rId2461" Type="http://schemas.openxmlformats.org/officeDocument/2006/relationships/hyperlink" Target="http://pic.twitter.com/TVyZ2OHT9z" TargetMode="External"/><Relationship Id="rId2699" Type="http://schemas.openxmlformats.org/officeDocument/2006/relationships/hyperlink" Target="http://www.sajimes.blogspot.com/" TargetMode="External"/><Relationship Id="rId226" Type="http://schemas.openxmlformats.org/officeDocument/2006/relationships/hyperlink" Target="https://m.eldiario.es/_31f01323" TargetMode="External"/><Relationship Id="rId433" Type="http://schemas.openxmlformats.org/officeDocument/2006/relationships/hyperlink" Target="https://es.m.wikiquote.org/wiki/Winston_Churchill" TargetMode="External"/><Relationship Id="rId878" Type="http://schemas.openxmlformats.org/officeDocument/2006/relationships/hyperlink" Target="https://www.publico.es/tremending/2018/11/21/por-que-albert-rivera-no-se-atreve-a-decir-que-vox-es-extrema-derecha-twitter-analiza-los-motivos/" TargetMode="External"/><Relationship Id="rId1063" Type="http://schemas.openxmlformats.org/officeDocument/2006/relationships/hyperlink" Target="http://diario16.com/rivera-se-niega-calificar-vox-partido-extrema-derecha/" TargetMode="External"/><Relationship Id="rId1270" Type="http://schemas.openxmlformats.org/officeDocument/2006/relationships/hyperlink" Target="https://pbs.twimg.com/media/DsiZqE-WsAIByhv.jpg" TargetMode="External"/><Relationship Id="rId2114" Type="http://schemas.openxmlformats.org/officeDocument/2006/relationships/hyperlink" Target="http://www.ciudadanos-cs.org/" TargetMode="External"/><Relationship Id="rId2559" Type="http://schemas.openxmlformats.org/officeDocument/2006/relationships/hyperlink" Target="http://larioja.ciudadanos-cs.org/" TargetMode="External"/><Relationship Id="rId2766" Type="http://schemas.openxmlformats.org/officeDocument/2006/relationships/hyperlink" Target="http://dlvr.it/Qrdgnw" TargetMode="External"/><Relationship Id="rId640" Type="http://schemas.openxmlformats.org/officeDocument/2006/relationships/hyperlink" Target="http://www.youtube.com/sila661" TargetMode="External"/><Relationship Id="rId738" Type="http://schemas.openxmlformats.org/officeDocument/2006/relationships/hyperlink" Target="http://www.bitmomentum.com/" TargetMode="External"/><Relationship Id="rId945" Type="http://schemas.openxmlformats.org/officeDocument/2006/relationships/hyperlink" Target="https://www.ecorepublicano.es/2018/11/albert-rivera-evita-calificar-vox-como.html" TargetMode="External"/><Relationship Id="rId1368" Type="http://schemas.openxmlformats.org/officeDocument/2006/relationships/hyperlink" Target="http://alexnoye.tumblr.com/" TargetMode="External"/><Relationship Id="rId1575" Type="http://schemas.openxmlformats.org/officeDocument/2006/relationships/hyperlink" Target="http://www.dimonisrafolins.com/" TargetMode="External"/><Relationship Id="rId1782" Type="http://schemas.openxmlformats.org/officeDocument/2006/relationships/hyperlink" Target="http://www.ciudadanos-cs.org/" TargetMode="External"/><Relationship Id="rId2321" Type="http://schemas.openxmlformats.org/officeDocument/2006/relationships/hyperlink" Target="https://www.ciudadanos-cs.org/" TargetMode="External"/><Relationship Id="rId2419" Type="http://schemas.openxmlformats.org/officeDocument/2006/relationships/hyperlink" Target="http://pic.twitter.com/EVujApeRnW" TargetMode="External"/><Relationship Id="rId2626" Type="http://schemas.openxmlformats.org/officeDocument/2006/relationships/hyperlink" Target="http://tallercitatxetxu.blogspot.com/" TargetMode="External"/><Relationship Id="rId74" Type="http://schemas.openxmlformats.org/officeDocument/2006/relationships/hyperlink" Target="http://pic.twitter.com/YnBNxbIVBi" TargetMode="External"/><Relationship Id="rId500" Type="http://schemas.openxmlformats.org/officeDocument/2006/relationships/hyperlink" Target="https://pbs.twimg.com/media/Dsnter6WwAIW7Sk.jpg" TargetMode="External"/><Relationship Id="rId805" Type="http://schemas.openxmlformats.org/officeDocument/2006/relationships/hyperlink" Target="https://elrinconcito-georgina.blogspot.com/2018/11/problemas-para-comprar-coches-de.html" TargetMode="External"/><Relationship Id="rId1130" Type="http://schemas.openxmlformats.org/officeDocument/2006/relationships/hyperlink" Target="http://instagram.com/consu_gf" TargetMode="External"/><Relationship Id="rId1228" Type="http://schemas.openxmlformats.org/officeDocument/2006/relationships/hyperlink" Target="https://pbs.twimg.com/media/Dsh4_XYWkAEmPTa.jpg" TargetMode="External"/><Relationship Id="rId1435" Type="http://schemas.openxmlformats.org/officeDocument/2006/relationships/hyperlink" Target="https://pbs.twimg.com/media/Dsh1L_yXgAE8L6M.jpg" TargetMode="External"/><Relationship Id="rId1642" Type="http://schemas.openxmlformats.org/officeDocument/2006/relationships/hyperlink" Target="https://www.youtube.com/watch?v=dHyJnABSRY4" TargetMode="External"/><Relationship Id="rId1947" Type="http://schemas.openxmlformats.org/officeDocument/2006/relationships/hyperlink" Target="https://delmoraloblog.wordpress.com/" TargetMode="External"/><Relationship Id="rId1502" Type="http://schemas.openxmlformats.org/officeDocument/2006/relationships/hyperlink" Target="http://www.ciudadanos-cs.org/" TargetMode="External"/><Relationship Id="rId1807" Type="http://schemas.openxmlformats.org/officeDocument/2006/relationships/hyperlink" Target="http://www.bitmomentum.com/" TargetMode="External"/><Relationship Id="rId290" Type="http://schemas.openxmlformats.org/officeDocument/2006/relationships/hyperlink" Target="http://dlvr.it/Qrtd93" TargetMode="External"/><Relationship Id="rId388" Type="http://schemas.openxmlformats.org/officeDocument/2006/relationships/hyperlink" Target="http://www.nach-schlag.com/" TargetMode="External"/><Relationship Id="rId2069" Type="http://schemas.openxmlformats.org/officeDocument/2006/relationships/hyperlink" Target="https://joseramontorices.wordpress.com/" TargetMode="External"/><Relationship Id="rId150" Type="http://schemas.openxmlformats.org/officeDocument/2006/relationships/hyperlink" Target="http://www.mundovarices.com/" TargetMode="External"/><Relationship Id="rId595" Type="http://schemas.openxmlformats.org/officeDocument/2006/relationships/hyperlink" Target="https://www.eldiario.es/_31f65118" TargetMode="External"/><Relationship Id="rId2276" Type="http://schemas.openxmlformats.org/officeDocument/2006/relationships/hyperlink" Target="https://www.youtube.com/c/ElPeriodistaCamorrista" TargetMode="External"/><Relationship Id="rId2483" Type="http://schemas.openxmlformats.org/officeDocument/2006/relationships/hyperlink" Target="https://www.elmundo.es/cataluna/2018/11/20/5bf30ac5468aeb7a7e8b4607.html" TargetMode="External"/><Relationship Id="rId2690" Type="http://schemas.openxmlformats.org/officeDocument/2006/relationships/hyperlink" Target="https://pbs.twimg.com/media/DsbhIPSWoAEBq8L.jpg" TargetMode="External"/><Relationship Id="rId248" Type="http://schemas.openxmlformats.org/officeDocument/2006/relationships/hyperlink" Target="https://pbs.twimg.com/media/DspQP-DWoAAXIeT.jpg" TargetMode="External"/><Relationship Id="rId455" Type="http://schemas.openxmlformats.org/officeDocument/2006/relationships/hyperlink" Target="http://larioja.ciudadanos-cs.org/" TargetMode="External"/><Relationship Id="rId662" Type="http://schemas.openxmlformats.org/officeDocument/2006/relationships/hyperlink" Target="http://pic.twitter.com/MhUqYZQfiy" TargetMode="External"/><Relationship Id="rId1085" Type="http://schemas.openxmlformats.org/officeDocument/2006/relationships/hyperlink" Target="https://www.elplural.com/politica/albert-rivera-extrema-derecha-vox-respuesta-entrevista_206736102" TargetMode="External"/><Relationship Id="rId1292" Type="http://schemas.openxmlformats.org/officeDocument/2006/relationships/hyperlink" Target="https://twitter.com/wearetrivu/status/1065233086676385792" TargetMode="External"/><Relationship Id="rId2136" Type="http://schemas.openxmlformats.org/officeDocument/2006/relationships/hyperlink" Target="https://youtu.be/Vvvq1GenBy4" TargetMode="External"/><Relationship Id="rId2343" Type="http://schemas.openxmlformats.org/officeDocument/2006/relationships/hyperlink" Target="http://www.elmundo.es/espana/2018/11/20/5bf3e474e2704ec6568b4825.html" TargetMode="External"/><Relationship Id="rId2550" Type="http://schemas.openxmlformats.org/officeDocument/2006/relationships/hyperlink" Target="https://www.20minutos.es/noticia/2630599/0/entrevista/albert-rivera/elecciones-20d/?utm_source=twitter.com&amp;utm_medium=socialshare&amp;utm_campaign=mobile_amp" TargetMode="External"/><Relationship Id="rId2788" Type="http://schemas.openxmlformats.org/officeDocument/2006/relationships/hyperlink" Target="http://elcorreoweb.es/movil/cronologia/noticias/meta/manuel-perez" TargetMode="External"/><Relationship Id="rId108" Type="http://schemas.openxmlformats.org/officeDocument/2006/relationships/hyperlink" Target="https://pbs.twimg.com/media/DsoylnnWkAArp-4.jpg" TargetMode="External"/><Relationship Id="rId315" Type="http://schemas.openxmlformats.org/officeDocument/2006/relationships/hyperlink" Target="https://www.elmundo.es/espana/2018/11/22/5bf6a067e5fdea356f8b4633.html" TargetMode="External"/><Relationship Id="rId522" Type="http://schemas.openxmlformats.org/officeDocument/2006/relationships/hyperlink" Target="https://www.lavanguardia.com/politica/20181122/453092011111/rivera-golpistas-describir-insultar.html?utm_campaign=botones_sociales_app" TargetMode="External"/><Relationship Id="rId967" Type="http://schemas.openxmlformats.org/officeDocument/2006/relationships/hyperlink" Target="https://youtu.be/LmQ_3WODKOU" TargetMode="External"/><Relationship Id="rId1152" Type="http://schemas.openxmlformats.org/officeDocument/2006/relationships/hyperlink" Target="https://pbs.twimg.com/media/DsjBOtcWkAAHNje.jpg" TargetMode="External"/><Relationship Id="rId1597" Type="http://schemas.openxmlformats.org/officeDocument/2006/relationships/hyperlink" Target="http://pic.twitter.com/U8ewrG0E0E" TargetMode="External"/><Relationship Id="rId2203" Type="http://schemas.openxmlformats.org/officeDocument/2006/relationships/hyperlink" Target="http://www.ramblalibre.com/" TargetMode="External"/><Relationship Id="rId2410" Type="http://schemas.openxmlformats.org/officeDocument/2006/relationships/hyperlink" Target="http://www.youtube.com/sila661" TargetMode="External"/><Relationship Id="rId2648" Type="http://schemas.openxmlformats.org/officeDocument/2006/relationships/hyperlink" Target="http://www.huffingtonpost.es/" TargetMode="External"/><Relationship Id="rId96" Type="http://schemas.openxmlformats.org/officeDocument/2006/relationships/hyperlink" Target="https://twitter.com/monikcon62/status/1065666281788055559" TargetMode="External"/><Relationship Id="rId827" Type="http://schemas.openxmlformats.org/officeDocument/2006/relationships/hyperlink" Target="https://es.linkedin.com/in/mruizcastro" TargetMode="External"/><Relationship Id="rId1012" Type="http://schemas.openxmlformats.org/officeDocument/2006/relationships/hyperlink" Target="https://pbs.twimg.com/media/DsjlXIjXQAA-kqa.jpg" TargetMode="External"/><Relationship Id="rId1457" Type="http://schemas.openxmlformats.org/officeDocument/2006/relationships/hyperlink" Target="http://flavors.me/tamkiki" TargetMode="External"/><Relationship Id="rId1664" Type="http://schemas.openxmlformats.org/officeDocument/2006/relationships/hyperlink" Target="http://www.doonsanyinfrancoland.com/" TargetMode="External"/><Relationship Id="rId1871" Type="http://schemas.openxmlformats.org/officeDocument/2006/relationships/hyperlink" Target="http://www.ramblalibre.com/" TargetMode="External"/><Relationship Id="rId2508" Type="http://schemas.openxmlformats.org/officeDocument/2006/relationships/hyperlink" Target="https://www.elnacional.cat/enblau/ca/televisio/susanna-griso-albert-rivera-luis-alfonso-borbon_326550_102.html" TargetMode="External"/><Relationship Id="rId2715" Type="http://schemas.openxmlformats.org/officeDocument/2006/relationships/hyperlink" Target="https://www.elmundo.es/cataluna/2018/11/20/5bf30ac5468aeb7a7e8b4607.html" TargetMode="External"/><Relationship Id="rId1317" Type="http://schemas.openxmlformats.org/officeDocument/2006/relationships/hyperlink" Target="http://es-la.facebook.com/cecilio.castro.777" TargetMode="External"/><Relationship Id="rId1524" Type="http://schemas.openxmlformats.org/officeDocument/2006/relationships/hyperlink" Target="https://www.youtube.com/channel/UC3Bwzkx1_CQZ4EtBKDUOwNw" TargetMode="External"/><Relationship Id="rId1731" Type="http://schemas.openxmlformats.org/officeDocument/2006/relationships/hyperlink" Target="http://hot-and-pretty-bravery.tumblr.com/" TargetMode="External"/><Relationship Id="rId1969" Type="http://schemas.openxmlformats.org/officeDocument/2006/relationships/hyperlink" Target="http://politiblogblog.wordpress.com/" TargetMode="External"/><Relationship Id="rId23" Type="http://schemas.openxmlformats.org/officeDocument/2006/relationships/hyperlink" Target="https://pbs.twimg.com/media/DssM662W0AAIyYE.jpg" TargetMode="External"/><Relationship Id="rId1829" Type="http://schemas.openxmlformats.org/officeDocument/2006/relationships/hyperlink" Target="http://youtu.be/Vvvq1GenBy4?a" TargetMode="External"/><Relationship Id="rId2298" Type="http://schemas.openxmlformats.org/officeDocument/2006/relationships/hyperlink" Target="http://www.ciudadanos-cs.org/" TargetMode="External"/><Relationship Id="rId172" Type="http://schemas.openxmlformats.org/officeDocument/2006/relationships/hyperlink" Target="http://xinzodalimia.galiza.eu/" TargetMode="External"/><Relationship Id="rId477" Type="http://schemas.openxmlformats.org/officeDocument/2006/relationships/hyperlink" Target="https://youtu.be/Vn5QOJG3_SM" TargetMode="External"/><Relationship Id="rId684" Type="http://schemas.openxmlformats.org/officeDocument/2006/relationships/hyperlink" Target="https://www.elmundo.es/espana/2018/11/22/5bf6a067e5fdea356f8b4633.html" TargetMode="External"/><Relationship Id="rId2060" Type="http://schemas.openxmlformats.org/officeDocument/2006/relationships/hyperlink" Target="https://twitter.com/jazarzalejos/status/1064784344080879616" TargetMode="External"/><Relationship Id="rId2158" Type="http://schemas.openxmlformats.org/officeDocument/2006/relationships/hyperlink" Target="http://tormenta78.com/" TargetMode="External"/><Relationship Id="rId2365" Type="http://schemas.openxmlformats.org/officeDocument/2006/relationships/hyperlink" Target="https://www.elmundo.es/cataluna/2018/11/20/5bf30ac5468aeb7a7e8b4607.html" TargetMode="External"/><Relationship Id="rId337" Type="http://schemas.openxmlformats.org/officeDocument/2006/relationships/hyperlink" Target="https://www.huffingtonpost.es/2018/11/20/la-respuesta-de-atresmedia-a-albert-rivera-por-lo-que-ha-dicho-sobre-la-casa-de-papel_a_23594976/" TargetMode="External"/><Relationship Id="rId891" Type="http://schemas.openxmlformats.org/officeDocument/2006/relationships/hyperlink" Target="https://pbs.twimg.com/media/DslqjLsXQAAnEM3.jpg" TargetMode="External"/><Relationship Id="rId989" Type="http://schemas.openxmlformats.org/officeDocument/2006/relationships/hyperlink" Target="https://pbs.twimg.com/media/Dsi6qxGWkAM8_W6.jpg" TargetMode="External"/><Relationship Id="rId2018" Type="http://schemas.openxmlformats.org/officeDocument/2006/relationships/hyperlink" Target="http://ciudadanos-cs.org/" TargetMode="External"/><Relationship Id="rId2572" Type="http://schemas.openxmlformats.org/officeDocument/2006/relationships/hyperlink" Target="http://a.msn.com/01/es-es/BBPTvWt?ocid=st" TargetMode="External"/><Relationship Id="rId544" Type="http://schemas.openxmlformats.org/officeDocument/2006/relationships/hyperlink" Target="https://pbs.twimg.com/media/DsncPrzWoAAI8eR.jpg" TargetMode="External"/><Relationship Id="rId751" Type="http://schemas.openxmlformats.org/officeDocument/2006/relationships/hyperlink" Target="http://nuevarevolucion.es/columnas/poesia-critica/" TargetMode="External"/><Relationship Id="rId849" Type="http://schemas.openxmlformats.org/officeDocument/2006/relationships/hyperlink" Target="http://pic.twitter.com/FdweHqO4ZD" TargetMode="External"/><Relationship Id="rId1174" Type="http://schemas.openxmlformats.org/officeDocument/2006/relationships/hyperlink" Target="http://www.bitmomentum.com/" TargetMode="External"/><Relationship Id="rId1381" Type="http://schemas.openxmlformats.org/officeDocument/2006/relationships/hyperlink" Target="https://www.huffingtonpost.es/2018/11/20/la-respuesta-de-atresmedia-a-albert-rivera-por-lo-que-ha-dicho-sobre-la-casa-de-papel_a_23594976/" TargetMode="External"/><Relationship Id="rId1479" Type="http://schemas.openxmlformats.org/officeDocument/2006/relationships/hyperlink" Target="http://telemd.es/zwua0141741" TargetMode="External"/><Relationship Id="rId1686" Type="http://schemas.openxmlformats.org/officeDocument/2006/relationships/hyperlink" Target="https://youtu.be/RIommL7PpKM" TargetMode="External"/><Relationship Id="rId2225" Type="http://schemas.openxmlformats.org/officeDocument/2006/relationships/hyperlink" Target="http://pic.twitter.com/wDOkUFHfpf" TargetMode="External"/><Relationship Id="rId2432" Type="http://schemas.openxmlformats.org/officeDocument/2006/relationships/hyperlink" Target="http://www.bitmomentum.com/" TargetMode="External"/><Relationship Id="rId404" Type="http://schemas.openxmlformats.org/officeDocument/2006/relationships/hyperlink" Target="http://www.es.viralizeed.com/" TargetMode="External"/><Relationship Id="rId611" Type="http://schemas.openxmlformats.org/officeDocument/2006/relationships/hyperlink" Target="https://www.elmundo.es/espana/2018/11/22/5bf6a067e5fdea356f8b4633.html" TargetMode="External"/><Relationship Id="rId1034" Type="http://schemas.openxmlformats.org/officeDocument/2006/relationships/hyperlink" Target="https://www.eldiario.es/rastreador/Albert-Rivera-extrema-populistas-bolivarianos_6_838226200.html" TargetMode="External"/><Relationship Id="rId1241" Type="http://schemas.openxmlformats.org/officeDocument/2006/relationships/hyperlink" Target="https://m.eldiario.es/politica/Rivera-catalogar-Vox-extremadrecha-analista_0_838166254.html" TargetMode="External"/><Relationship Id="rId1339" Type="http://schemas.openxmlformats.org/officeDocument/2006/relationships/hyperlink" Target="http://psoefondon.blogspot.com.es/" TargetMode="External"/><Relationship Id="rId1893" Type="http://schemas.openxmlformats.org/officeDocument/2006/relationships/hyperlink" Target="http://www.digo-yo.es/author/esparroqui/" TargetMode="External"/><Relationship Id="rId2737" Type="http://schemas.openxmlformats.org/officeDocument/2006/relationships/hyperlink" Target="https://pbs.twimg.com/media/DsaywTnX4AAdKu-.jpg" TargetMode="External"/><Relationship Id="rId709" Type="http://schemas.openxmlformats.org/officeDocument/2006/relationships/hyperlink" Target="https://www.elmundo.es/espana/2018/11/22/5bf6a067e5fdea356f8b4633.html" TargetMode="External"/><Relationship Id="rId916" Type="http://schemas.openxmlformats.org/officeDocument/2006/relationships/hyperlink" Target="http://www.bitmomentum.com/" TargetMode="External"/><Relationship Id="rId1101" Type="http://schemas.openxmlformats.org/officeDocument/2006/relationships/hyperlink" Target="http://pic.twitter.com/j00No1Kkwb" TargetMode="External"/><Relationship Id="rId1546" Type="http://schemas.openxmlformats.org/officeDocument/2006/relationships/hyperlink" Target="http://www.bitmomentum.com/" TargetMode="External"/><Relationship Id="rId1753" Type="http://schemas.openxmlformats.org/officeDocument/2006/relationships/hyperlink" Target="http://violette-art.tumblr.com/" TargetMode="External"/><Relationship Id="rId1960" Type="http://schemas.openxmlformats.org/officeDocument/2006/relationships/hyperlink" Target="https://twitter.com/Esquerra_ERC/status/1064949582600249350" TargetMode="External"/><Relationship Id="rId2804" Type="http://schemas.openxmlformats.org/officeDocument/2006/relationships/hyperlink" Target="https://soundcloud.com/wandalus-enajenostudio" TargetMode="External"/><Relationship Id="rId45" Type="http://schemas.openxmlformats.org/officeDocument/2006/relationships/hyperlink" Target="http://www.ciudadanos-cs.org/" TargetMode="External"/><Relationship Id="rId1406" Type="http://schemas.openxmlformats.org/officeDocument/2006/relationships/hyperlink" Target="https://youtu.be/g6iGsNwc2EU" TargetMode="External"/><Relationship Id="rId1613" Type="http://schemas.openxmlformats.org/officeDocument/2006/relationships/hyperlink" Target="http://www.compostela24horas.com/" TargetMode="External"/><Relationship Id="rId1820" Type="http://schemas.openxmlformats.org/officeDocument/2006/relationships/hyperlink" Target="https://pbs.twimg.com/media/DsfTuTZV4AA51JV.jpg" TargetMode="External"/><Relationship Id="rId194" Type="http://schemas.openxmlformats.org/officeDocument/2006/relationships/hyperlink" Target="https://www.youtube.com/c/ElPeriodistaCamorrista" TargetMode="External"/><Relationship Id="rId1918" Type="http://schemas.openxmlformats.org/officeDocument/2006/relationships/hyperlink" Target="http://lokesevea.blogspot.com/" TargetMode="External"/><Relationship Id="rId2082" Type="http://schemas.openxmlformats.org/officeDocument/2006/relationships/hyperlink" Target="http://ramblalibre.com/2018/11/20/joan-tarda-pasa-el-rubicon-y-llama-fascista-a-albert-rivera-en-el-congreso/" TargetMode="External"/><Relationship Id="rId261" Type="http://schemas.openxmlformats.org/officeDocument/2006/relationships/hyperlink" Target="https://www.elnacional.cat/ca/politica/organitzacio-mundial-contra-tortura-cuixart-sanchez_327576_102.html" TargetMode="External"/><Relationship Id="rId499" Type="http://schemas.openxmlformats.org/officeDocument/2006/relationships/hyperlink" Target="https://www.facebook.com/JoseMonty69" TargetMode="External"/><Relationship Id="rId2387" Type="http://schemas.openxmlformats.org/officeDocument/2006/relationships/hyperlink" Target="https://www.elmundo.es/espana/2018/11/20/5bf3e474e2704ec6568b4825.html" TargetMode="External"/><Relationship Id="rId2594" Type="http://schemas.openxmlformats.org/officeDocument/2006/relationships/hyperlink" Target="https://pbs.twimg.com/media/Dsb2GEVWsAAclK7.jpg" TargetMode="External"/><Relationship Id="rId359" Type="http://schemas.openxmlformats.org/officeDocument/2006/relationships/hyperlink" Target="http://pic.twitter.com/X3pDkjIWaz" TargetMode="External"/><Relationship Id="rId566" Type="http://schemas.openxmlformats.org/officeDocument/2006/relationships/hyperlink" Target="https://www.elmundo.es/espana/2018/11/22/5bf6a067e5fdea356f8b4633.html" TargetMode="External"/><Relationship Id="rId773" Type="http://schemas.openxmlformats.org/officeDocument/2006/relationships/hyperlink" Target="http://www.lacerca.com/noticias/espana/rivera-electoral-3-grupos-nacionalistas-insultan-espana-congreso-446110-1.html" TargetMode="External"/><Relationship Id="rId1196" Type="http://schemas.openxmlformats.org/officeDocument/2006/relationships/hyperlink" Target="http://joseluisuriz.blogspot.com/2018/11/franco-lluch-un-ano-mas" TargetMode="External"/><Relationship Id="rId2247" Type="http://schemas.openxmlformats.org/officeDocument/2006/relationships/hyperlink" Target="https://twitter.com/acaipteixeiro/status/1064538872279912453" TargetMode="External"/><Relationship Id="rId2454" Type="http://schemas.openxmlformats.org/officeDocument/2006/relationships/hyperlink" Target="https://www.abc.es/opinion/abci-viaje-cuba-201811200137_noticia.html" TargetMode="External"/><Relationship Id="rId121" Type="http://schemas.openxmlformats.org/officeDocument/2006/relationships/hyperlink" Target="https://pbs.twimg.com/media/DspHIzhU0AAxLUw.jpg" TargetMode="External"/><Relationship Id="rId219" Type="http://schemas.openxmlformats.org/officeDocument/2006/relationships/hyperlink" Target="http://veoinfo.com/" TargetMode="External"/><Relationship Id="rId426" Type="http://schemas.openxmlformats.org/officeDocument/2006/relationships/hyperlink" Target="https://youtu.be/Vn5QOJG3_SM" TargetMode="External"/><Relationship Id="rId633" Type="http://schemas.openxmlformats.org/officeDocument/2006/relationships/hyperlink" Target="http://www.elmundo.es/espana/2018/11/22/5bf6a067e5fdea356f8b4633.html" TargetMode="External"/><Relationship Id="rId980" Type="http://schemas.openxmlformats.org/officeDocument/2006/relationships/hyperlink" Target="http://rosamariaartal.wordpress.com/" TargetMode="External"/><Relationship Id="rId1056" Type="http://schemas.openxmlformats.org/officeDocument/2006/relationships/hyperlink" Target="https://www.elmundo.es/espana/2018/11/20/5bf3e474e2704ec6568b4825.html" TargetMode="External"/><Relationship Id="rId1263" Type="http://schemas.openxmlformats.org/officeDocument/2006/relationships/hyperlink" Target="https://pbs.twimg.com/media/DsickEcXcAEgXkO.jpg" TargetMode="External"/><Relationship Id="rId2107" Type="http://schemas.openxmlformats.org/officeDocument/2006/relationships/hyperlink" Target="https://www.elperiodico.com/es/politica/20181120/tarda-rivera-fascistas-7158541" TargetMode="External"/><Relationship Id="rId2314" Type="http://schemas.openxmlformats.org/officeDocument/2006/relationships/hyperlink" Target="http://pic.twitter.com/PAasN77cRP" TargetMode="External"/><Relationship Id="rId2661" Type="http://schemas.openxmlformats.org/officeDocument/2006/relationships/hyperlink" Target="https://elojobuenodefritz.wordpress.com/" TargetMode="External"/><Relationship Id="rId2759" Type="http://schemas.openxmlformats.org/officeDocument/2006/relationships/hyperlink" Target="https://pbs.twimg.com/media/DsZriSHXcAABjeS.jpg" TargetMode="External"/><Relationship Id="rId840" Type="http://schemas.openxmlformats.org/officeDocument/2006/relationships/hyperlink" Target="http://pic.twitter.com/aAgneG8chs" TargetMode="External"/><Relationship Id="rId938" Type="http://schemas.openxmlformats.org/officeDocument/2006/relationships/hyperlink" Target="http://pic.twitter.com/83YErk68cu" TargetMode="External"/><Relationship Id="rId1470" Type="http://schemas.openxmlformats.org/officeDocument/2006/relationships/hyperlink" Target="http://unicorntv.es/" TargetMode="External"/><Relationship Id="rId1568" Type="http://schemas.openxmlformats.org/officeDocument/2006/relationships/hyperlink" Target="https://twitter.com/Bernat_Castro/status/1065192571029413888" TargetMode="External"/><Relationship Id="rId1775" Type="http://schemas.openxmlformats.org/officeDocument/2006/relationships/hyperlink" Target="https://www.elconfidencial.com/espana/madrid/2018-11-20/debate-indultos-golpistas-rivera-fascista-tarda-congreso_1658598/" TargetMode="External"/><Relationship Id="rId2521" Type="http://schemas.openxmlformats.org/officeDocument/2006/relationships/hyperlink" Target="https://pbs.twimg.com/media/DsbMbPUXoAAKn0j.jpg" TargetMode="External"/><Relationship Id="rId2619" Type="http://schemas.openxmlformats.org/officeDocument/2006/relationships/hyperlink" Target="http://www.elmundo.es/social/usuarios/alvaro_carvajal/" TargetMode="External"/><Relationship Id="rId67" Type="http://schemas.openxmlformats.org/officeDocument/2006/relationships/hyperlink" Target="http://guadalajara.ciudadanos-cs.org/" TargetMode="External"/><Relationship Id="rId700" Type="http://schemas.openxmlformats.org/officeDocument/2006/relationships/hyperlink" Target="http://l.facebook.com/l.php?u=http%3A%2F%2Fsergialex53.wix.com%2Fsvclaret1415&amp;h=sAQE5L46l&amp;s=1" TargetMode="External"/><Relationship Id="rId1123" Type="http://schemas.openxmlformats.org/officeDocument/2006/relationships/hyperlink" Target="http://www.bitmomentum.com/" TargetMode="External"/><Relationship Id="rId1330" Type="http://schemas.openxmlformats.org/officeDocument/2006/relationships/hyperlink" Target="https://twitter.com/superwomanroja/status/1065216762533298176" TargetMode="External"/><Relationship Id="rId1428" Type="http://schemas.openxmlformats.org/officeDocument/2006/relationships/hyperlink" Target="https://pbs.twimg.com/media/Dsh1791WoAMFmyG.jpg" TargetMode="External"/><Relationship Id="rId1635" Type="http://schemas.openxmlformats.org/officeDocument/2006/relationships/hyperlink" Target="https://pbs.twimg.com/media/DshG3ZyWsAEqE6L.jpg" TargetMode="External"/><Relationship Id="rId1982" Type="http://schemas.openxmlformats.org/officeDocument/2006/relationships/hyperlink" Target="http://asamblea-madrid.ciudadanos-cs.org/" TargetMode="External"/><Relationship Id="rId1842" Type="http://schemas.openxmlformats.org/officeDocument/2006/relationships/hyperlink" Target="http://www.bitmomentum.com/" TargetMode="External"/><Relationship Id="rId1702" Type="http://schemas.openxmlformats.org/officeDocument/2006/relationships/hyperlink" Target="http://pic.twitter.com/6kZHNAdNJ7" TargetMode="External"/><Relationship Id="rId283" Type="http://schemas.openxmlformats.org/officeDocument/2006/relationships/hyperlink" Target="http://youtu.be/lYfwLSXLeJQ?a" TargetMode="External"/><Relationship Id="rId490" Type="http://schemas.openxmlformats.org/officeDocument/2006/relationships/hyperlink" Target="https://latribunadelpaisvasco.com/art/10045/albert-rivera-a-sanchez-se-le-ha-ido-de-las-manos-el-monstruo-de-frankenstein-que-construyo-con-rufian-iglesias-torra-y-bildu" TargetMode="External"/><Relationship Id="rId2171" Type="http://schemas.openxmlformats.org/officeDocument/2006/relationships/hyperlink" Target="http://pic.twitter.com/am7gNi3vAs" TargetMode="External"/><Relationship Id="rId143" Type="http://schemas.openxmlformats.org/officeDocument/2006/relationships/hyperlink" Target="https://www.ciudadanos-cs.org/prensa/rivera-a-sanchez-se-le-ha-ido-de-las-manos-el-monstruo-de-frankenstein-que-construyo-con-rufian-iglesias-torra-y-bildu/11100" TargetMode="External"/><Relationship Id="rId350" Type="http://schemas.openxmlformats.org/officeDocument/2006/relationships/hyperlink" Target="http://www.noticias24horas.com/" TargetMode="External"/><Relationship Id="rId588" Type="http://schemas.openxmlformats.org/officeDocument/2006/relationships/hyperlink" Target="http://pic.twitter.com/cCVhEbwr2r" TargetMode="External"/><Relationship Id="rId795" Type="http://schemas.openxmlformats.org/officeDocument/2006/relationships/hyperlink" Target="https://www.lavanguardia.com/politica/20181122/453091407207/albert-rivera-acusa-psoe-minimizar-independentistas-escupen-espana.html" TargetMode="External"/><Relationship Id="rId2031" Type="http://schemas.openxmlformats.org/officeDocument/2006/relationships/hyperlink" Target="https://youtu.be/64sgFG9MlcI" TargetMode="External"/><Relationship Id="rId2269" Type="http://schemas.openxmlformats.org/officeDocument/2006/relationships/hyperlink" Target="http://dlvr.it/Qrj1yn" TargetMode="External"/><Relationship Id="rId2476" Type="http://schemas.openxmlformats.org/officeDocument/2006/relationships/hyperlink" Target="https://www.elmundo.es/espana/2018/11/20/5bf3e474e2704ec6568b4825.html" TargetMode="External"/><Relationship Id="rId2683" Type="http://schemas.openxmlformats.org/officeDocument/2006/relationships/hyperlink" Target="https://www.xataka.com/automovil/que-cuota-coche-electrico-noruega-21-espana-0-32" TargetMode="External"/><Relationship Id="rId9" Type="http://schemas.openxmlformats.org/officeDocument/2006/relationships/hyperlink" Target="http://management-briznas.blogspot.com/" TargetMode="External"/><Relationship Id="rId210" Type="http://schemas.openxmlformats.org/officeDocument/2006/relationships/hyperlink" Target="http://trendinalia.com/twitter-trending-topics/spain/" TargetMode="External"/><Relationship Id="rId448" Type="http://schemas.openxmlformats.org/officeDocument/2006/relationships/hyperlink" Target="http://alcantarillasocial.com/author/protestona1" TargetMode="External"/><Relationship Id="rId655" Type="http://schemas.openxmlformats.org/officeDocument/2006/relationships/hyperlink" Target="https://twitter.com/liberal_mirada/status/1065256366099566593" TargetMode="External"/><Relationship Id="rId862" Type="http://schemas.openxmlformats.org/officeDocument/2006/relationships/hyperlink" Target="https://www.esdiario.com/46982221/El-PSC-vota-con-los-independentistas-para-admitir-la-invasion-de-lazos-amarillos.html" TargetMode="External"/><Relationship Id="rId1078" Type="http://schemas.openxmlformats.org/officeDocument/2006/relationships/hyperlink" Target="http://blogjjredondela.blogspot.com/" TargetMode="External"/><Relationship Id="rId1285" Type="http://schemas.openxmlformats.org/officeDocument/2006/relationships/hyperlink" Target="http://pic.twitter.com/n5PsPsyj4a" TargetMode="External"/><Relationship Id="rId1492" Type="http://schemas.openxmlformats.org/officeDocument/2006/relationships/hyperlink" Target="https://www.publico.es/tremending/2018/11/21/por-que-albert-rivera-no-se-atreve-a-decir-que-vox-es-extrema-derecha-twitter-analiza-los-motivos/?utm_source=twitter&amp;utm_medium=social&amp;utm_campaign=tremending" TargetMode="External"/><Relationship Id="rId2129" Type="http://schemas.openxmlformats.org/officeDocument/2006/relationships/hyperlink" Target="http://www.enblau.com/es/" TargetMode="External"/><Relationship Id="rId2336" Type="http://schemas.openxmlformats.org/officeDocument/2006/relationships/hyperlink" Target="https://www.facebook.com/manuel.montalvo.73" TargetMode="External"/><Relationship Id="rId2543" Type="http://schemas.openxmlformats.org/officeDocument/2006/relationships/hyperlink" Target="https://twitter.com/AsociacionMSPE/status/1064827826636025858" TargetMode="External"/><Relationship Id="rId2750" Type="http://schemas.openxmlformats.org/officeDocument/2006/relationships/hyperlink" Target="https://www.youtube.com/channel/UCsvn_Po0SmunchJYOWpOxMg" TargetMode="External"/><Relationship Id="rId308" Type="http://schemas.openxmlformats.org/officeDocument/2006/relationships/hyperlink" Target="https://pbs.twimg.com/media/DsgwGuqU8AEeA9d.jpg" TargetMode="External"/><Relationship Id="rId515" Type="http://schemas.openxmlformats.org/officeDocument/2006/relationships/hyperlink" Target="https://www.europapress.es/nacional/noticia-rivera-exfiscal-ignacio-gordillo-frente-acto-sabado-madrid-contra-indultos-independentistas-20181122164813.html" TargetMode="External"/><Relationship Id="rId722" Type="http://schemas.openxmlformats.org/officeDocument/2006/relationships/hyperlink" Target="http://malagafotoscotidianas.blogspot.com.es/" TargetMode="External"/><Relationship Id="rId1145" Type="http://schemas.openxmlformats.org/officeDocument/2006/relationships/hyperlink" Target="http://www.silogb.com/" TargetMode="External"/><Relationship Id="rId1352" Type="http://schemas.openxmlformats.org/officeDocument/2006/relationships/hyperlink" Target="https://www.publico.es/tremending/2018/11/21/por-que-albert-rivera-no-se-atreve-a-decir-que-vox-es-extrema-derecha-twitter-analiza-los-motivos/?utm_source=facebook&amp;utm_medium=social&amp;utm_campaign=publico" TargetMode="External"/><Relationship Id="rId1797" Type="http://schemas.openxmlformats.org/officeDocument/2006/relationships/hyperlink" Target="http://www.bitmomentum.com/" TargetMode="External"/><Relationship Id="rId2403" Type="http://schemas.openxmlformats.org/officeDocument/2006/relationships/hyperlink" Target="https://pbs.twimg.com/media/DsdGlxjWkAAK0W5.jpg" TargetMode="External"/><Relationship Id="rId89" Type="http://schemas.openxmlformats.org/officeDocument/2006/relationships/hyperlink" Target="https://www.youtube.com/c/ElPeriodistaCamorrista" TargetMode="External"/><Relationship Id="rId1005" Type="http://schemas.openxmlformats.org/officeDocument/2006/relationships/hyperlink" Target="https://www.publico.es/tremending/2018/11/21/por-que-albert-rivera-no-se-atreve-a-decir-que-vox-es-extrema-derecha-twitter-analiza-los-motivos/?utm_source=twitter&amp;utm_medium=social&amp;utm_campaign=tremending" TargetMode="External"/><Relationship Id="rId1212" Type="http://schemas.openxmlformats.org/officeDocument/2006/relationships/hyperlink" Target="https://www.publico.es/tremending/2018/11/21/por-que-albert-rivera-no-se-atreve-a-decir-que-vox-es-extrema-derecha-twitter-analiza-los-motivos/?utm_source=twitter&amp;utm_medium=social&amp;utm_campaign=publico" TargetMode="External"/><Relationship Id="rId1657" Type="http://schemas.openxmlformats.org/officeDocument/2006/relationships/hyperlink" Target="http://playtele.teleame.com/" TargetMode="External"/><Relationship Id="rId1864" Type="http://schemas.openxmlformats.org/officeDocument/2006/relationships/hyperlink" Target="http://pic.twitter.com/K4v7qGZJGg" TargetMode="External"/><Relationship Id="rId2610" Type="http://schemas.openxmlformats.org/officeDocument/2006/relationships/hyperlink" Target="https://www.elmundo.es/cataluna/2018/11/20/5bf30ac5468aeb7a7e8b4607.html" TargetMode="External"/><Relationship Id="rId2708" Type="http://schemas.openxmlformats.org/officeDocument/2006/relationships/hyperlink" Target="https://pbs.twimg.com/media/Dsbf6P5WwAAN8y0.jpg" TargetMode="External"/><Relationship Id="rId1517" Type="http://schemas.openxmlformats.org/officeDocument/2006/relationships/hyperlink" Target="https://pbs.twimg.com/media/DscJqxFXcAARdHH.jpg" TargetMode="External"/><Relationship Id="rId1724" Type="http://schemas.openxmlformats.org/officeDocument/2006/relationships/hyperlink" Target="http://cadenaser.com/programa/2018/11/20/hoy_por_hoy/1542712340_800654.html" TargetMode="External"/><Relationship Id="rId16" Type="http://schemas.openxmlformats.org/officeDocument/2006/relationships/hyperlink" Target="http://pic.twitter.com/4Fh0BC4QEC" TargetMode="External"/><Relationship Id="rId1931" Type="http://schemas.openxmlformats.org/officeDocument/2006/relationships/hyperlink" Target="https://pbs.twimg.com/media/Dseg_oMWwAAvnhl.jpg" TargetMode="External"/><Relationship Id="rId2193" Type="http://schemas.openxmlformats.org/officeDocument/2006/relationships/hyperlink" Target="https://pbs.twimg.com/media/Dsd3G3nWoAEGgXm.jpg" TargetMode="External"/><Relationship Id="rId2498" Type="http://schemas.openxmlformats.org/officeDocument/2006/relationships/hyperlink" Target="http://pic.twitter.com/FtC0wKaClx" TargetMode="External"/><Relationship Id="rId165" Type="http://schemas.openxmlformats.org/officeDocument/2006/relationships/hyperlink" Target="http://youtu.be/AUSqGnrZTBE?a" TargetMode="External"/><Relationship Id="rId372" Type="http://schemas.openxmlformats.org/officeDocument/2006/relationships/hyperlink" Target="http://www.fernandollopis.es/" TargetMode="External"/><Relationship Id="rId677" Type="http://schemas.openxmlformats.org/officeDocument/2006/relationships/hyperlink" Target="http://www.asivaespana.com/" TargetMode="External"/><Relationship Id="rId2053" Type="http://schemas.openxmlformats.org/officeDocument/2006/relationships/hyperlink" Target="https://m.facebook.com/story.php?story_fbid=1961280627509337&amp;id=1826079467696121" TargetMode="External"/><Relationship Id="rId2260" Type="http://schemas.openxmlformats.org/officeDocument/2006/relationships/hyperlink" Target="https://www.elmundo.es/espana/2018/11/20/5bf3071946163ffb518b4673.html" TargetMode="External"/><Relationship Id="rId2358" Type="http://schemas.openxmlformats.org/officeDocument/2006/relationships/hyperlink" Target="https://pbs.twimg.com/media/DsdhEHtXoAA1M9s.jpg" TargetMode="External"/><Relationship Id="rId232" Type="http://schemas.openxmlformats.org/officeDocument/2006/relationships/hyperlink" Target="http://www.bitmomentum.com/" TargetMode="External"/><Relationship Id="rId884" Type="http://schemas.openxmlformats.org/officeDocument/2006/relationships/hyperlink" Target="https://pbs.twimg.com/media/Dsly_-VVAAATnxw.jpg" TargetMode="External"/><Relationship Id="rId2120" Type="http://schemas.openxmlformats.org/officeDocument/2006/relationships/hyperlink" Target="https://youtu.be/NVSW54BAaOM" TargetMode="External"/><Relationship Id="rId2565" Type="http://schemas.openxmlformats.org/officeDocument/2006/relationships/hyperlink" Target="http://www.javierh.com/" TargetMode="External"/><Relationship Id="rId2772" Type="http://schemas.openxmlformats.org/officeDocument/2006/relationships/hyperlink" Target="http://elcorreoweb.es/movil/cronologia/noticias/meta/manuel-perez" TargetMode="External"/><Relationship Id="rId537" Type="http://schemas.openxmlformats.org/officeDocument/2006/relationships/hyperlink" Target="https://www.elmundo.es/espana/2018/11/22/5bf6a067e5fdea356f8b4633.html" TargetMode="External"/><Relationship Id="rId744" Type="http://schemas.openxmlformats.org/officeDocument/2006/relationships/hyperlink" Target="https://goo.gl/b3cNwy?xge72=8223875128" TargetMode="External"/><Relationship Id="rId951" Type="http://schemas.openxmlformats.org/officeDocument/2006/relationships/hyperlink" Target="http://enplatea.com/index.php?s=Isma+lomana&amp;boton_submit.x=0&amp;boton_submit.y=0" TargetMode="External"/><Relationship Id="rId1167" Type="http://schemas.openxmlformats.org/officeDocument/2006/relationships/hyperlink" Target="https://twitter.com/xexu_fernandez/status/1064997655892377600" TargetMode="External"/><Relationship Id="rId1374" Type="http://schemas.openxmlformats.org/officeDocument/2006/relationships/hyperlink" Target="https://twitter.com/altamiranoMLG/status/1065231998418120704" TargetMode="External"/><Relationship Id="rId1581" Type="http://schemas.openxmlformats.org/officeDocument/2006/relationships/hyperlink" Target="https://pbs.twimg.com/media/DshRKauXcAAae9s.jpg" TargetMode="External"/><Relationship Id="rId1679" Type="http://schemas.openxmlformats.org/officeDocument/2006/relationships/hyperlink" Target="http://www.atlas-news.com/agencia-internet/politica/Rivera-Ciudadanos-partido-crezca-Andalucia_3_1509479047.html" TargetMode="External"/><Relationship Id="rId2218" Type="http://schemas.openxmlformats.org/officeDocument/2006/relationships/hyperlink" Target="https://www.ciudadanos-cs.org/" TargetMode="External"/><Relationship Id="rId2425" Type="http://schemas.openxmlformats.org/officeDocument/2006/relationships/hyperlink" Target="http://www.huffingtonpost.es/" TargetMode="External"/><Relationship Id="rId2632" Type="http://schemas.openxmlformats.org/officeDocument/2006/relationships/hyperlink" Target="http://www.ciudadanos-cs.org/" TargetMode="External"/><Relationship Id="rId80" Type="http://schemas.openxmlformats.org/officeDocument/2006/relationships/hyperlink" Target="https://pbs.twimg.com/media/Dsr7TB1XcAICjmA.jpg" TargetMode="External"/><Relationship Id="rId604" Type="http://schemas.openxmlformats.org/officeDocument/2006/relationships/hyperlink" Target="http://www.bitmomentum.com/" TargetMode="External"/><Relationship Id="rId811" Type="http://schemas.openxmlformats.org/officeDocument/2006/relationships/hyperlink" Target="https://www.ciudadanos-cs.org/prensa/rivera-a-sanchez-no-le-importan-los-autonomos-ni-el-irpf-si-no-formar-una-mayoria-politica-a-cambio-de-indultos/11088" TargetMode="External"/><Relationship Id="rId1027" Type="http://schemas.openxmlformats.org/officeDocument/2006/relationships/hyperlink" Target="http://pic.twitter.com/UFqjqeavDV" TargetMode="External"/><Relationship Id="rId1234" Type="http://schemas.openxmlformats.org/officeDocument/2006/relationships/hyperlink" Target="https://twitter.com/jordi_canyas/status/1064990394692354048" TargetMode="External"/><Relationship Id="rId1441" Type="http://schemas.openxmlformats.org/officeDocument/2006/relationships/hyperlink" Target="https://www.publico.es/tremending/2018/11/21/por-que-albert-rivera-no-se-atreve-a-decir-que-vox-es-extrema-derecha-twitter-analiza-los-motivos/" TargetMode="External"/><Relationship Id="rId1886" Type="http://schemas.openxmlformats.org/officeDocument/2006/relationships/hyperlink" Target="https://youtu.be/NVSW54BAaOM" TargetMode="External"/><Relationship Id="rId909" Type="http://schemas.openxmlformats.org/officeDocument/2006/relationships/hyperlink" Target="https://pbs.twimg.com/media/DslP5xoWwAARHGv.jpg" TargetMode="External"/><Relationship Id="rId1301" Type="http://schemas.openxmlformats.org/officeDocument/2006/relationships/hyperlink" Target="https://pbs.twimg.com/media/DsiRfPWXcAIq0qG.jpg" TargetMode="External"/><Relationship Id="rId1539" Type="http://schemas.openxmlformats.org/officeDocument/2006/relationships/hyperlink" Target="http://www.huffingtonpost.es/" TargetMode="External"/><Relationship Id="rId1746" Type="http://schemas.openxmlformats.org/officeDocument/2006/relationships/hyperlink" Target="http://instagram.com/consu_gf" TargetMode="External"/><Relationship Id="rId1953" Type="http://schemas.openxmlformats.org/officeDocument/2006/relationships/hyperlink" Target="https://twitter.com/VP_Espana/status/1064983448962678785" TargetMode="External"/><Relationship Id="rId38" Type="http://schemas.openxmlformats.org/officeDocument/2006/relationships/hyperlink" Target="https://pbs.twimg.com/media/DsrcOwYWwAELx69.jpg" TargetMode="External"/><Relationship Id="rId1606" Type="http://schemas.openxmlformats.org/officeDocument/2006/relationships/hyperlink" Target="https://pbs.twimg.com/media/DsgwGuqU8AEeA9d.jpg" TargetMode="External"/><Relationship Id="rId1813" Type="http://schemas.openxmlformats.org/officeDocument/2006/relationships/hyperlink" Target="https://www.huffingtonpost.es/2018/11/20/la-respuesta-de-atresmedia-a-albert-rivera-por-lo-que-ha-dicho-sobre-la-casa-de-papel_a_23594976/" TargetMode="External"/><Relationship Id="rId187" Type="http://schemas.openxmlformats.org/officeDocument/2006/relationships/hyperlink" Target="https://youtu.be/Vn5QOJG3_SM" TargetMode="External"/><Relationship Id="rId394" Type="http://schemas.openxmlformats.org/officeDocument/2006/relationships/hyperlink" Target="http://pic.twitter.com/4r430H7TgN" TargetMode="External"/><Relationship Id="rId2075" Type="http://schemas.openxmlformats.org/officeDocument/2006/relationships/hyperlink" Target="http://pic.twitter.com/ewMItNL4Rw" TargetMode="External"/><Relationship Id="rId2282" Type="http://schemas.openxmlformats.org/officeDocument/2006/relationships/hyperlink" Target="http://pic.twitter.com/2Rfcr38CT3" TargetMode="External"/><Relationship Id="rId254" Type="http://schemas.openxmlformats.org/officeDocument/2006/relationships/hyperlink" Target="https://twitter.com/gentehacecosas/status/1065727387227312131" TargetMode="External"/><Relationship Id="rId699" Type="http://schemas.openxmlformats.org/officeDocument/2006/relationships/hyperlink" Target="https://www.elperiodico.com/es/politica/20181122/albert-rivera-2017-montar-autobus-no-es-hacer-oposicion-7161584?utm_source=twitter&amp;utm_medium=social" TargetMode="External"/><Relationship Id="rId1091" Type="http://schemas.openxmlformats.org/officeDocument/2006/relationships/hyperlink" Target="https://www.eldiario.es/rastreador/Albert-Rivera-extrema-populistas-bolivarianos_6_838226200.html" TargetMode="External"/><Relationship Id="rId2587" Type="http://schemas.openxmlformats.org/officeDocument/2006/relationships/hyperlink" Target="http://ow.ly/UyIe30mGlu7" TargetMode="External"/><Relationship Id="rId2794" Type="http://schemas.openxmlformats.org/officeDocument/2006/relationships/hyperlink" Target="http://somnisantic.cat/" TargetMode="External"/><Relationship Id="rId114" Type="http://schemas.openxmlformats.org/officeDocument/2006/relationships/hyperlink" Target="http://www.fesmcugtaragon.es/" TargetMode="External"/><Relationship Id="rId461" Type="http://schemas.openxmlformats.org/officeDocument/2006/relationships/hyperlink" Target="https://www.elperiodicodearagon.com/noticias/aragon/europa-abre-puerta-aragon-mar_1325430.html" TargetMode="External"/><Relationship Id="rId559" Type="http://schemas.openxmlformats.org/officeDocument/2006/relationships/hyperlink" Target="https://www.lavanguardia.com/politica/20181122/453092011111/rivera-golpistas-describir-insultar.html" TargetMode="External"/><Relationship Id="rId766" Type="http://schemas.openxmlformats.org/officeDocument/2006/relationships/hyperlink" Target="https://okdiario.com/espana/2018/11/22/rivera-afea-sanchez-no-reunirse-opositores-cubanos-no-puedes-defender-derechos-humanos-si-no-escuchas-otra-parte-3379439" TargetMode="External"/><Relationship Id="rId1189" Type="http://schemas.openxmlformats.org/officeDocument/2006/relationships/hyperlink" Target="https://twitter.com/jaumeclotet/status/1065166166556123137?s=19" TargetMode="External"/><Relationship Id="rId1396" Type="http://schemas.openxmlformats.org/officeDocument/2006/relationships/hyperlink" Target="https://pbs.twimg.com/media/DsgwGuqU8AEeA9d.jpg" TargetMode="External"/><Relationship Id="rId2142" Type="http://schemas.openxmlformats.org/officeDocument/2006/relationships/hyperlink" Target="http://www.grancanariatv.com/" TargetMode="External"/><Relationship Id="rId2447" Type="http://schemas.openxmlformats.org/officeDocument/2006/relationships/hyperlink" Target="https://pbs.twimg.com/media/Dscv2CgXcAAr-H1.jpg" TargetMode="External"/><Relationship Id="rId321" Type="http://schemas.openxmlformats.org/officeDocument/2006/relationships/hyperlink" Target="https://www.elmundo.es/espana/2018/11/22/5bf6a067e5fdea356f8b4633.html" TargetMode="External"/><Relationship Id="rId419" Type="http://schemas.openxmlformats.org/officeDocument/2006/relationships/hyperlink" Target="http://bit.ly/2DQ6rlN" TargetMode="External"/><Relationship Id="rId626" Type="http://schemas.openxmlformats.org/officeDocument/2006/relationships/hyperlink" Target="https://www.publico.es/tremending/2018/11/21/por-que-albert-rivera-no-se-atreve-a-decir-que-vox-es-extrema-derecha-twitter-analiza-los-motivos/" TargetMode="External"/><Relationship Id="rId973" Type="http://schemas.openxmlformats.org/officeDocument/2006/relationships/hyperlink" Target="https://www.youtube.com/channel/UCGVw_4aBM-_uytH3VWjwyag" TargetMode="External"/><Relationship Id="rId1049" Type="http://schemas.openxmlformats.org/officeDocument/2006/relationships/hyperlink" Target="https://youtu.be/jOKUHInEhjE" TargetMode="External"/><Relationship Id="rId1256" Type="http://schemas.openxmlformats.org/officeDocument/2006/relationships/hyperlink" Target="http://pic.twitter.com/hskv7l50M2" TargetMode="External"/><Relationship Id="rId2002" Type="http://schemas.openxmlformats.org/officeDocument/2006/relationships/hyperlink" Target="https://www.europapress.es/nacional/noticia-abalos-responde-page-rivera-no-tendria-cabida-psoe-afilio-20181120105907.html" TargetMode="External"/><Relationship Id="rId2307" Type="http://schemas.openxmlformats.org/officeDocument/2006/relationships/hyperlink" Target="http://pic.twitter.com/6pMA83sPZF" TargetMode="External"/><Relationship Id="rId2654" Type="http://schemas.openxmlformats.org/officeDocument/2006/relationships/hyperlink" Target="http://www.antilopez.tv/" TargetMode="External"/><Relationship Id="rId833" Type="http://schemas.openxmlformats.org/officeDocument/2006/relationships/hyperlink" Target="https://m.eldiario.es/_31f65118" TargetMode="External"/><Relationship Id="rId1116" Type="http://schemas.openxmlformats.org/officeDocument/2006/relationships/hyperlink" Target="http://youtu.be/g6iGsNwc2EU?a" TargetMode="External"/><Relationship Id="rId1463" Type="http://schemas.openxmlformats.org/officeDocument/2006/relationships/hyperlink" Target="https://www.facebook.com/Libereco-Press-256834128305420/" TargetMode="External"/><Relationship Id="rId1670" Type="http://schemas.openxmlformats.org/officeDocument/2006/relationships/hyperlink" Target="https://pbs.twimg.com/media/Dsds1VLXcAA3Ud5.jpg" TargetMode="External"/><Relationship Id="rId1768" Type="http://schemas.openxmlformats.org/officeDocument/2006/relationships/hyperlink" Target="http://www.hoyporhoy.es/" TargetMode="External"/><Relationship Id="rId2514" Type="http://schemas.openxmlformats.org/officeDocument/2006/relationships/hyperlink" Target="http://www.enblau.com/" TargetMode="External"/><Relationship Id="rId2721" Type="http://schemas.openxmlformats.org/officeDocument/2006/relationships/hyperlink" Target="https://pbs.twimg.com/media/DsbYWxcWoAEbcO5.jpg" TargetMode="External"/><Relationship Id="rId900" Type="http://schemas.openxmlformats.org/officeDocument/2006/relationships/hyperlink" Target="https://www.publico.es/tremending/2018/11/21/por-que-albert-rivera-no-se-atreve-a-decir-que-vox-es-extrema-derecha-twitter-analiza-los-motivos/" TargetMode="External"/><Relationship Id="rId1323" Type="http://schemas.openxmlformats.org/officeDocument/2006/relationships/hyperlink" Target="http://pic.twitter.com/Hz4D6jOQv5" TargetMode="External"/><Relationship Id="rId1530" Type="http://schemas.openxmlformats.org/officeDocument/2006/relationships/hyperlink" Target="https://www.elplural.com/politica/albert-rivera-extrema-derecha-vox-respuesta-entrevista_206736102" TargetMode="External"/><Relationship Id="rId1628" Type="http://schemas.openxmlformats.org/officeDocument/2006/relationships/hyperlink" Target="https://bit.ly/2KKq1DR" TargetMode="External"/><Relationship Id="rId1975" Type="http://schemas.openxmlformats.org/officeDocument/2006/relationships/hyperlink" Target="https://youtu.be/Vvvq1GenBy4" TargetMode="External"/><Relationship Id="rId1835" Type="http://schemas.openxmlformats.org/officeDocument/2006/relationships/hyperlink" Target="https://mcaf.ee/5nluj0" TargetMode="External"/><Relationship Id="rId1902" Type="http://schemas.openxmlformats.org/officeDocument/2006/relationships/hyperlink" Target="http://www.huffingtonpost.es/" TargetMode="External"/><Relationship Id="rId2097" Type="http://schemas.openxmlformats.org/officeDocument/2006/relationships/hyperlink" Target="http://www.lasexta.com/" TargetMode="External"/><Relationship Id="rId276" Type="http://schemas.openxmlformats.org/officeDocument/2006/relationships/hyperlink" Target="http://www.bitmomentum.com/" TargetMode="External"/><Relationship Id="rId483" Type="http://schemas.openxmlformats.org/officeDocument/2006/relationships/hyperlink" Target="https://youtu.be/Vn5QOJG3_SM" TargetMode="External"/><Relationship Id="rId690" Type="http://schemas.openxmlformats.org/officeDocument/2006/relationships/hyperlink" Target="http://www.elmundo.es/" TargetMode="External"/><Relationship Id="rId2164" Type="http://schemas.openxmlformats.org/officeDocument/2006/relationships/hyperlink" Target="https://pbs.twimg.com/media/Dsd8IGLXcAEchgw.jpg" TargetMode="External"/><Relationship Id="rId2371" Type="http://schemas.openxmlformats.org/officeDocument/2006/relationships/hyperlink" Target="https://www.elmundo.es/espana/2018/11/20/5bf3e474e2704ec6568b4825.html" TargetMode="External"/><Relationship Id="rId136" Type="http://schemas.openxmlformats.org/officeDocument/2006/relationships/hyperlink" Target="http://pic.twitter.com/eqJt9gv29Y" TargetMode="External"/><Relationship Id="rId343" Type="http://schemas.openxmlformats.org/officeDocument/2006/relationships/hyperlink" Target="http://www.noticias24horas.com/ue-albert-rivera-presente-una-mocion-de-censura-o-llegue-a-acuerdos-sobre-lo-acordado-psoe-podemos/" TargetMode="External"/><Relationship Id="rId550" Type="http://schemas.openxmlformats.org/officeDocument/2006/relationships/hyperlink" Target="https://www.elmundo.es/espana/2018/11/22/5bf6a067e5fdea356f8b4633.html" TargetMode="External"/><Relationship Id="rId788" Type="http://schemas.openxmlformats.org/officeDocument/2006/relationships/hyperlink" Target="http://instagram.com/doriveramirez" TargetMode="External"/><Relationship Id="rId995" Type="http://schemas.openxmlformats.org/officeDocument/2006/relationships/hyperlink" Target="http://www.gcgconsultores.com/" TargetMode="External"/><Relationship Id="rId1180" Type="http://schemas.openxmlformats.org/officeDocument/2006/relationships/hyperlink" Target="http://ciudadanos-cs.org/" TargetMode="External"/><Relationship Id="rId2024" Type="http://schemas.openxmlformats.org/officeDocument/2006/relationships/hyperlink" Target="http://youtu.be/E8gVl67OYxQ?a" TargetMode="External"/><Relationship Id="rId2231" Type="http://schemas.openxmlformats.org/officeDocument/2006/relationships/hyperlink" Target="http://parlamento-andalucia.ciudadanos-cs.org/" TargetMode="External"/><Relationship Id="rId2469" Type="http://schemas.openxmlformats.org/officeDocument/2006/relationships/hyperlink" Target="https://twitter.com/Albert_Rivera/status/1064605981341114371" TargetMode="External"/><Relationship Id="rId2676" Type="http://schemas.openxmlformats.org/officeDocument/2006/relationships/hyperlink" Target="http://atres.red/prwad1" TargetMode="External"/><Relationship Id="rId203" Type="http://schemas.openxmlformats.org/officeDocument/2006/relationships/hyperlink" Target="https://pbs.twimg.com/media/Dsq6psNXcAAy7JF.jpg" TargetMode="External"/><Relationship Id="rId648" Type="http://schemas.openxmlformats.org/officeDocument/2006/relationships/hyperlink" Target="http://elperiodi.co/_fob51" TargetMode="External"/><Relationship Id="rId855" Type="http://schemas.openxmlformats.org/officeDocument/2006/relationships/hyperlink" Target="https://pbs.twimg.com/media/Dsl_Jr_W0AAOuys.jpg" TargetMode="External"/><Relationship Id="rId1040" Type="http://schemas.openxmlformats.org/officeDocument/2006/relationships/hyperlink" Target="https://lahoradigital.com/movil/noticia/17583/politica/albert-rivera-incapaz-de-definir-a-vox-como-extrema-derecha.html" TargetMode="External"/><Relationship Id="rId1278" Type="http://schemas.openxmlformats.org/officeDocument/2006/relationships/hyperlink" Target="https://www.ciudadanos-cs.org/" TargetMode="External"/><Relationship Id="rId1485" Type="http://schemas.openxmlformats.org/officeDocument/2006/relationships/hyperlink" Target="https://pbs.twimg.com/media/DshpagsWsAAftfj.jpg" TargetMode="External"/><Relationship Id="rId1692" Type="http://schemas.openxmlformats.org/officeDocument/2006/relationships/hyperlink" Target="http://terrassa.ciudadanos-cs.org/" TargetMode="External"/><Relationship Id="rId2329" Type="http://schemas.openxmlformats.org/officeDocument/2006/relationships/hyperlink" Target="http://castillalamancha.ciudadanos-cs.org/" TargetMode="External"/><Relationship Id="rId2536" Type="http://schemas.openxmlformats.org/officeDocument/2006/relationships/hyperlink" Target="http://www.ciudadanos-cs.org/" TargetMode="External"/><Relationship Id="rId2743" Type="http://schemas.openxmlformats.org/officeDocument/2006/relationships/hyperlink" Target="https://youtu.be/VEJIhwtlefM" TargetMode="External"/><Relationship Id="rId410" Type="http://schemas.openxmlformats.org/officeDocument/2006/relationships/hyperlink" Target="http://pic.twitter.com/R3CeaVwylM" TargetMode="External"/><Relationship Id="rId508" Type="http://schemas.openxmlformats.org/officeDocument/2006/relationships/hyperlink" Target="https://twitter.com/Ciddavid/status/1065615961351442432" TargetMode="External"/><Relationship Id="rId715" Type="http://schemas.openxmlformats.org/officeDocument/2006/relationships/hyperlink" Target="http://www.ciudadanos-cs.org/" TargetMode="External"/><Relationship Id="rId922" Type="http://schemas.openxmlformats.org/officeDocument/2006/relationships/hyperlink" Target="https://twitter.com/Albert_Rivera/status/1065230411448688640" TargetMode="External"/><Relationship Id="rId1138" Type="http://schemas.openxmlformats.org/officeDocument/2006/relationships/hyperlink" Target="http://www.ciudadanos-cs.org/" TargetMode="External"/><Relationship Id="rId1345" Type="http://schemas.openxmlformats.org/officeDocument/2006/relationships/hyperlink" Target="http://www.elplural.com/" TargetMode="External"/><Relationship Id="rId1552" Type="http://schemas.openxmlformats.org/officeDocument/2006/relationships/hyperlink" Target="https://pbs.twimg.com/media/Dsds1VLXcAA3Ud5.jpg" TargetMode="External"/><Relationship Id="rId1997" Type="http://schemas.openxmlformats.org/officeDocument/2006/relationships/hyperlink" Target="http://www.digo-yo.es/author/esparroqui/" TargetMode="External"/><Relationship Id="rId2603" Type="http://schemas.openxmlformats.org/officeDocument/2006/relationships/hyperlink" Target="https://www.elplural.com/politica/teresa-rodriguez-albert-rivera-primo-albert-primo-de-rivera_206666102" TargetMode="External"/><Relationship Id="rId1205" Type="http://schemas.openxmlformats.org/officeDocument/2006/relationships/hyperlink" Target="https://curiouscat.me/Ygritte_Snow" TargetMode="External"/><Relationship Id="rId1857" Type="http://schemas.openxmlformats.org/officeDocument/2006/relationships/hyperlink" Target="http://pic.twitter.com/V0FfMzwZLd" TargetMode="External"/><Relationship Id="rId2810" Type="http://schemas.openxmlformats.org/officeDocument/2006/relationships/hyperlink" Target="http://www.delarosalopez.es/" TargetMode="External"/><Relationship Id="rId51" Type="http://schemas.openxmlformats.org/officeDocument/2006/relationships/hyperlink" Target="https://pbs.twimg.com/media/DsrL2ixX4AEBPu4.jpg" TargetMode="External"/><Relationship Id="rId1412" Type="http://schemas.openxmlformats.org/officeDocument/2006/relationships/hyperlink" Target="https://www.publico.es/tremending/2018/11/21/por-que-albert-rivera-no-se-atreve-a-decir-que-vox-es-extrema-derecha-twitter-analiza-los-motivos/?utm_source=facebook&amp;utm_medium=social&amp;utm_campaign=publico" TargetMode="External"/><Relationship Id="rId1717" Type="http://schemas.openxmlformats.org/officeDocument/2006/relationships/hyperlink" Target="https://www.instagram.com/marcespin/" TargetMode="External"/><Relationship Id="rId1924" Type="http://schemas.openxmlformats.org/officeDocument/2006/relationships/hyperlink" Target="http://www.huffingtonpost.es/" TargetMode="External"/><Relationship Id="rId298" Type="http://schemas.openxmlformats.org/officeDocument/2006/relationships/hyperlink" Target="http://www.trecetv.es/programas/el-cascabel" TargetMode="External"/><Relationship Id="rId158" Type="http://schemas.openxmlformats.org/officeDocument/2006/relationships/hyperlink" Target="http://www.youtube.com/sila661" TargetMode="External"/><Relationship Id="rId2186" Type="http://schemas.openxmlformats.org/officeDocument/2006/relationships/hyperlink" Target="https://pbs.twimg.com/media/Dsd4RkqXoAAKuv4.jpg" TargetMode="External"/><Relationship Id="rId2393" Type="http://schemas.openxmlformats.org/officeDocument/2006/relationships/hyperlink" Target="https://www.ciudadanos-cs.org/" TargetMode="External"/><Relationship Id="rId2698" Type="http://schemas.openxmlformats.org/officeDocument/2006/relationships/hyperlink" Target="https://www.elmundo.es/cataluna/2018/11/20/5bf30ac5468aeb7a7e8b4607.html" TargetMode="External"/><Relationship Id="rId365" Type="http://schemas.openxmlformats.org/officeDocument/2006/relationships/hyperlink" Target="http://www.1990mcs.com/" TargetMode="External"/><Relationship Id="rId572" Type="http://schemas.openxmlformats.org/officeDocument/2006/relationships/hyperlink" Target="https://www.elperiodico.com/es/politica/20181122/albert-rivera-2017-montar-autobus-no-es-hacer-oposicion-7161584?utm_source=twitter&amp;utm_medium=social" TargetMode="External"/><Relationship Id="rId2046" Type="http://schemas.openxmlformats.org/officeDocument/2006/relationships/hyperlink" Target="https://pbs.twimg.com/media/DseK21jXoAEtxOB.jpg" TargetMode="External"/><Relationship Id="rId2253" Type="http://schemas.openxmlformats.org/officeDocument/2006/relationships/hyperlink" Target="http://youtu.be/q3y3WyvX06A?a" TargetMode="External"/><Relationship Id="rId2460" Type="http://schemas.openxmlformats.org/officeDocument/2006/relationships/hyperlink" Target="https://twitter.com/joosearodriguez/status/1064593289305825280" TargetMode="External"/><Relationship Id="rId225" Type="http://schemas.openxmlformats.org/officeDocument/2006/relationships/hyperlink" Target="https://textualitats.wordpress.com/" TargetMode="External"/><Relationship Id="rId432" Type="http://schemas.openxmlformats.org/officeDocument/2006/relationships/hyperlink" Target="https://pbs.twimg.com/media/DsnFfWkU8AAEvC1.jpg" TargetMode="External"/><Relationship Id="rId877" Type="http://schemas.openxmlformats.org/officeDocument/2006/relationships/hyperlink" Target="https://m.eldiario.es/_31f5688e" TargetMode="External"/><Relationship Id="rId1062" Type="http://schemas.openxmlformats.org/officeDocument/2006/relationships/hyperlink" Target="https://socialcumbre.blogspot.com.es/" TargetMode="External"/><Relationship Id="rId2113" Type="http://schemas.openxmlformats.org/officeDocument/2006/relationships/hyperlink" Target="https://youtu.be/D62g8svIjSc" TargetMode="External"/><Relationship Id="rId2320" Type="http://schemas.openxmlformats.org/officeDocument/2006/relationships/hyperlink" Target="http://pic.twitter.com/UfW1uiL5VS" TargetMode="External"/><Relationship Id="rId2558" Type="http://schemas.openxmlformats.org/officeDocument/2006/relationships/hyperlink" Target="http://pic.twitter.com/eGv337Yh2o" TargetMode="External"/><Relationship Id="rId2765" Type="http://schemas.openxmlformats.org/officeDocument/2006/relationships/hyperlink" Target="https://twitter.com/Pepita221/status/1064634859270885378" TargetMode="External"/><Relationship Id="rId737" Type="http://schemas.openxmlformats.org/officeDocument/2006/relationships/hyperlink" Target="https://twitter.com/manuelvalls/status/1065230851200507905" TargetMode="External"/><Relationship Id="rId944" Type="http://schemas.openxmlformats.org/officeDocument/2006/relationships/hyperlink" Target="https://www.facebook.com/pages/Ciudadanos-Pescados/921115804614055?fref=nf" TargetMode="External"/><Relationship Id="rId1367" Type="http://schemas.openxmlformats.org/officeDocument/2006/relationships/hyperlink" Target="http://politica.elpais.com/" TargetMode="External"/><Relationship Id="rId1574" Type="http://schemas.openxmlformats.org/officeDocument/2006/relationships/hyperlink" Target="https://www.publico.es/politica/ciudadanos-rivera-cierra-banda-tres-ocasiones-no-decir-vox-extrema-derecha.html" TargetMode="External"/><Relationship Id="rId1781" Type="http://schemas.openxmlformats.org/officeDocument/2006/relationships/hyperlink" Target="https://pbs.twimg.com/media/DsgkQ-OW0AAHU2v.jpg" TargetMode="External"/><Relationship Id="rId2418" Type="http://schemas.openxmlformats.org/officeDocument/2006/relationships/hyperlink" Target="http://pic.twitter.com/2DikakcGbf" TargetMode="External"/><Relationship Id="rId2625" Type="http://schemas.openxmlformats.org/officeDocument/2006/relationships/hyperlink" Target="https://www.elmundo.es/cataluna/2018/11/20/5bf30ac5468aeb7a7e8b4607.html" TargetMode="External"/><Relationship Id="rId73" Type="http://schemas.openxmlformats.org/officeDocument/2006/relationships/hyperlink" Target="https://pbs.twimg.com/media/Dsi6qxGWkAM8_W6.jpg" TargetMode="External"/><Relationship Id="rId804" Type="http://schemas.openxmlformats.org/officeDocument/2006/relationships/hyperlink" Target="https://goo.gl/U6tWs2?cdj42=5255643909" TargetMode="External"/><Relationship Id="rId1227" Type="http://schemas.openxmlformats.org/officeDocument/2006/relationships/hyperlink" Target="http://antinazionanista.blogspot.com/?spref=tw" TargetMode="External"/><Relationship Id="rId1434" Type="http://schemas.openxmlformats.org/officeDocument/2006/relationships/hyperlink" Target="http://www.ciudadanos-cs.org/" TargetMode="External"/><Relationship Id="rId1641" Type="http://schemas.openxmlformats.org/officeDocument/2006/relationships/hyperlink" Target="http://pic.twitter.com/eOrqv2xoHa" TargetMode="External"/><Relationship Id="rId1879" Type="http://schemas.openxmlformats.org/officeDocument/2006/relationships/hyperlink" Target="https://telegram.me/GuilleErrejon" TargetMode="External"/><Relationship Id="rId1501" Type="http://schemas.openxmlformats.org/officeDocument/2006/relationships/hyperlink" Target="https://pbs.twimg.com/media/Dshl1hJWsAAVdkX.jpg" TargetMode="External"/><Relationship Id="rId1739" Type="http://schemas.openxmlformats.org/officeDocument/2006/relationships/hyperlink" Target="http://www.hoyporhoy.es/" TargetMode="External"/><Relationship Id="rId1946" Type="http://schemas.openxmlformats.org/officeDocument/2006/relationships/hyperlink" Target="http://pic.twitter.com/Y7UR4kQ51P" TargetMode="External"/><Relationship Id="rId1806" Type="http://schemas.openxmlformats.org/officeDocument/2006/relationships/hyperlink" Target="http://www.bitmomentum.com/" TargetMode="External"/><Relationship Id="rId387" Type="http://schemas.openxmlformats.org/officeDocument/2006/relationships/hyperlink" Target="http://youtu.be/Vn5QOJG3_SM?a" TargetMode="External"/><Relationship Id="rId594" Type="http://schemas.openxmlformats.org/officeDocument/2006/relationships/hyperlink" Target="http://albacete.ciudadanos-cs.org/" TargetMode="External"/><Relationship Id="rId2068" Type="http://schemas.openxmlformats.org/officeDocument/2006/relationships/hyperlink" Target="http://larioja.ciudadanos-cs.org/" TargetMode="External"/><Relationship Id="rId2275" Type="http://schemas.openxmlformats.org/officeDocument/2006/relationships/hyperlink" Target="https://youtu.be/Vvvq1GenBy4" TargetMode="External"/><Relationship Id="rId247" Type="http://schemas.openxmlformats.org/officeDocument/2006/relationships/hyperlink" Target="https://youtu.be/gEwhSBjGZYU" TargetMode="External"/><Relationship Id="rId899" Type="http://schemas.openxmlformats.org/officeDocument/2006/relationships/hyperlink" Target="https://elpais.com/politica/2018/11/21/actualidad/1542795112_974513.amp.html?id_externo_rsoc=TW_CC&amp;__=&amp;__twitter_impression=true" TargetMode="External"/><Relationship Id="rId1084" Type="http://schemas.openxmlformats.org/officeDocument/2006/relationships/hyperlink" Target="http://elmagoindignadodeoz.blogspot.com/" TargetMode="External"/><Relationship Id="rId2482" Type="http://schemas.openxmlformats.org/officeDocument/2006/relationships/hyperlink" Target="http://www.bitmomentum.com/" TargetMode="External"/><Relationship Id="rId2787" Type="http://schemas.openxmlformats.org/officeDocument/2006/relationships/hyperlink" Target="http://www.juancarlosromero.wordpress.com/" TargetMode="External"/><Relationship Id="rId107" Type="http://schemas.openxmlformats.org/officeDocument/2006/relationships/hyperlink" Target="https://twitter.com/RACATOL/status/1065719892945584128" TargetMode="External"/><Relationship Id="rId454" Type="http://schemas.openxmlformats.org/officeDocument/2006/relationships/hyperlink" Target="https://pbs.twimg.com/media/Dsnx0ztWoAEYVNI.jpg" TargetMode="External"/><Relationship Id="rId661" Type="http://schemas.openxmlformats.org/officeDocument/2006/relationships/hyperlink" Target="http://www.youtube.com/sila661" TargetMode="External"/><Relationship Id="rId759" Type="http://schemas.openxmlformats.org/officeDocument/2006/relationships/hyperlink" Target="http://www.ciudadanos-cs.org/" TargetMode="External"/><Relationship Id="rId966" Type="http://schemas.openxmlformats.org/officeDocument/2006/relationships/hyperlink" Target="https://twitter.com/escarvasopas/status/1065245285755088896" TargetMode="External"/><Relationship Id="rId1291" Type="http://schemas.openxmlformats.org/officeDocument/2006/relationships/hyperlink" Target="http://www.lacerca.com/" TargetMode="External"/><Relationship Id="rId1389" Type="http://schemas.openxmlformats.org/officeDocument/2006/relationships/hyperlink" Target="https://m.eldiario.es/_31f568f9" TargetMode="External"/><Relationship Id="rId1596" Type="http://schemas.openxmlformats.org/officeDocument/2006/relationships/hyperlink" Target="http://www.ciudadanos-cs.org/" TargetMode="External"/><Relationship Id="rId2135" Type="http://schemas.openxmlformats.org/officeDocument/2006/relationships/hyperlink" Target="https://www.ciudadanos-cs.org/" TargetMode="External"/><Relationship Id="rId2342" Type="http://schemas.openxmlformats.org/officeDocument/2006/relationships/hyperlink" Target="https://stopfamilyevictions.blogspot.com.es/" TargetMode="External"/><Relationship Id="rId2647" Type="http://schemas.openxmlformats.org/officeDocument/2006/relationships/hyperlink" Target="http://www.huffingtonpost.es/2018/11/20/albert-rivera-responde-en-espejo-publico-antena-3-al-calificativo-que-le-dedico-teresa-rodriguez-que-original_a_23594456/" TargetMode="External"/><Relationship Id="rId314" Type="http://schemas.openxmlformats.org/officeDocument/2006/relationships/hyperlink" Target="http://www.bitmomentum.com/" TargetMode="External"/><Relationship Id="rId521" Type="http://schemas.openxmlformats.org/officeDocument/2006/relationships/hyperlink" Target="https://www.elmundo.es/espana/2018/11/22/5bf6a067e5fdea356f8b4633.html" TargetMode="External"/><Relationship Id="rId619" Type="http://schemas.openxmlformats.org/officeDocument/2006/relationships/hyperlink" Target="https://twitter.com/CiudadanosCs/status/1065597757673652229" TargetMode="External"/><Relationship Id="rId1151" Type="http://schemas.openxmlformats.org/officeDocument/2006/relationships/hyperlink" Target="https://www.caravacaaldia.com/index.php?option=com_content&amp;task=view&amp;id=49004&amp;Itemid=181" TargetMode="External"/><Relationship Id="rId1249" Type="http://schemas.openxmlformats.org/officeDocument/2006/relationships/hyperlink" Target="https://twitter.com/ciudadanoscs/status/1064837499728683010" TargetMode="External"/><Relationship Id="rId2202" Type="http://schemas.openxmlformats.org/officeDocument/2006/relationships/hyperlink" Target="http://ramblalibre.com/2018/11/20/joan-tarda-pasa-el-rubicon-y-llama-fascista-a-albert-rivera-en-el-congreso/" TargetMode="External"/><Relationship Id="rId95" Type="http://schemas.openxmlformats.org/officeDocument/2006/relationships/hyperlink" Target="https://www.publico.es/tremending/2018/11/21/por-que-albert-rivera-no-se-atreve-a-decir-que-vox-es-extrema-derecha-twitter-analiza-los-motivos/?utm_source=twitter&amp;utm_medium=social&amp;utm_campaign=tremending" TargetMode="External"/><Relationship Id="rId826" Type="http://schemas.openxmlformats.org/officeDocument/2006/relationships/hyperlink" Target="http://www.ciudadanos-cs.org/" TargetMode="External"/><Relationship Id="rId1011" Type="http://schemas.openxmlformats.org/officeDocument/2006/relationships/hyperlink" Target="https://ift.tt/2R1GWkd" TargetMode="External"/><Relationship Id="rId1109" Type="http://schemas.openxmlformats.org/officeDocument/2006/relationships/hyperlink" Target="https://youtu.be/rt7rxMOkEx4" TargetMode="External"/><Relationship Id="rId1456" Type="http://schemas.openxmlformats.org/officeDocument/2006/relationships/hyperlink" Target="https://pbs.twimg.com/media/DshxS0EXQAI0mGR.jpg" TargetMode="External"/><Relationship Id="rId1663" Type="http://schemas.openxmlformats.org/officeDocument/2006/relationships/hyperlink" Target="http://losfosfonautas.blogspot.com.es/" TargetMode="External"/><Relationship Id="rId1870" Type="http://schemas.openxmlformats.org/officeDocument/2006/relationships/hyperlink" Target="http://ramblalibre.com/2018/11/20/joan-tarda-pasa-el-rubicon-y-llama-fascista-a-albert-rivera-en-el-congreso/" TargetMode="External"/><Relationship Id="rId1968" Type="http://schemas.openxmlformats.org/officeDocument/2006/relationships/hyperlink" Target="https://delmoraloblog.wordpress.com/" TargetMode="External"/><Relationship Id="rId2507" Type="http://schemas.openxmlformats.org/officeDocument/2006/relationships/hyperlink" Target="http://www.elnacional.cat/es/" TargetMode="External"/><Relationship Id="rId2714" Type="http://schemas.openxmlformats.org/officeDocument/2006/relationships/hyperlink" Target="http://pic.twitter.com/Zf1aJFdId1" TargetMode="External"/><Relationship Id="rId1316" Type="http://schemas.openxmlformats.org/officeDocument/2006/relationships/hyperlink" Target="https://m.eldiario.es/politica/Rivera-catalogar-Vox-extremadrecha-analista_0_838166254.html" TargetMode="External"/><Relationship Id="rId1523" Type="http://schemas.openxmlformats.org/officeDocument/2006/relationships/hyperlink" Target="http://pic.twitter.com/Q9RwlxLoBx" TargetMode="External"/><Relationship Id="rId1730" Type="http://schemas.openxmlformats.org/officeDocument/2006/relationships/hyperlink" Target="http://www.malagahoy.es/julian_molina/" TargetMode="External"/><Relationship Id="rId22" Type="http://schemas.openxmlformats.org/officeDocument/2006/relationships/hyperlink" Target="http://www.noticias24horas.com/" TargetMode="External"/><Relationship Id="rId1828" Type="http://schemas.openxmlformats.org/officeDocument/2006/relationships/hyperlink" Target="http://alfonlibertad.wordpress.com/" TargetMode="External"/><Relationship Id="rId171" Type="http://schemas.openxmlformats.org/officeDocument/2006/relationships/hyperlink" Target="https://pbs.twimg.com/media/DsovbbzXQAAdlRC.jpg" TargetMode="External"/><Relationship Id="rId2297" Type="http://schemas.openxmlformats.org/officeDocument/2006/relationships/hyperlink" Target="https://pbs.twimg.com/media/DsdsF7zXQAMDx96.jpg" TargetMode="External"/><Relationship Id="rId269" Type="http://schemas.openxmlformats.org/officeDocument/2006/relationships/hyperlink" Target="https://twitter.com/AntonioRNaranjo/status/1065699960316985347" TargetMode="External"/><Relationship Id="rId476" Type="http://schemas.openxmlformats.org/officeDocument/2006/relationships/hyperlink" Target="http://www.noticias24horas.com/" TargetMode="External"/><Relationship Id="rId683" Type="http://schemas.openxmlformats.org/officeDocument/2006/relationships/hyperlink" Target="https://www.elmundo.es/espana/2018/11/22/5bf6a067e5fdea356f8b4633.html" TargetMode="External"/><Relationship Id="rId890" Type="http://schemas.openxmlformats.org/officeDocument/2006/relationships/hyperlink" Target="https://pbs.twimg.com/media/Dslq1VWX4AAQMDl.jpg" TargetMode="External"/><Relationship Id="rId2157" Type="http://schemas.openxmlformats.org/officeDocument/2006/relationships/hyperlink" Target="http://www.bitmomentum.com/" TargetMode="External"/><Relationship Id="rId2364" Type="http://schemas.openxmlformats.org/officeDocument/2006/relationships/hyperlink" Target="http://quehacenlosdiputados.net/" TargetMode="External"/><Relationship Id="rId2571" Type="http://schemas.openxmlformats.org/officeDocument/2006/relationships/hyperlink" Target="https://www.europapress.es/nacional/noticia-rivera-pide-sanchez-casado-rompan-pacto-verguenza-cgpj-reformen-sistema-nombramientos-20181120100727.html" TargetMode="External"/><Relationship Id="rId129" Type="http://schemas.openxmlformats.org/officeDocument/2006/relationships/hyperlink" Target="http://www.youtube.com/sila661" TargetMode="External"/><Relationship Id="rId336" Type="http://schemas.openxmlformats.org/officeDocument/2006/relationships/hyperlink" Target="https://www.publico.es/tremending/2018/11/21/por-que-albert-rivera-no-se-atreve-a-decir-que-vox-es-extrema-derecha-twitter-analiza-los-motivos/" TargetMode="External"/><Relationship Id="rId543" Type="http://schemas.openxmlformats.org/officeDocument/2006/relationships/hyperlink" Target="https://www.publico.es/tremending/2018/11/21/por-que-albert-rivera-no-se-atreve-a-decir-que-vox-es-extrema-derecha-twitter-analiza-los-motivos/?utm_source=twitter&amp;utm_medium=social&amp;utm_campaign=publico" TargetMode="External"/><Relationship Id="rId988" Type="http://schemas.openxmlformats.org/officeDocument/2006/relationships/hyperlink" Target="https://twitter.com/Albert_Rivera/status/1065311816883085314" TargetMode="External"/><Relationship Id="rId1173" Type="http://schemas.openxmlformats.org/officeDocument/2006/relationships/hyperlink" Target="http://jpombo.es/" TargetMode="External"/><Relationship Id="rId1380" Type="http://schemas.openxmlformats.org/officeDocument/2006/relationships/hyperlink" Target="http://www.telemadrid.es/120minutos" TargetMode="External"/><Relationship Id="rId2017" Type="http://schemas.openxmlformats.org/officeDocument/2006/relationships/hyperlink" Target="http://pic.twitter.com/cRaythcaA4" TargetMode="External"/><Relationship Id="rId2224" Type="http://schemas.openxmlformats.org/officeDocument/2006/relationships/hyperlink" Target="https://twitter.com/Albert_Rivera/status/1064943434115497984" TargetMode="External"/><Relationship Id="rId2669" Type="http://schemas.openxmlformats.org/officeDocument/2006/relationships/hyperlink" Target="http://pic.twitter.com/UArxK9j4qn" TargetMode="External"/><Relationship Id="rId403" Type="http://schemas.openxmlformats.org/officeDocument/2006/relationships/hyperlink" Target="https://www.elmundo.es/espana/2018/11/22/5bf6a067e5fdea356f8b4633.html" TargetMode="External"/><Relationship Id="rId750" Type="http://schemas.openxmlformats.org/officeDocument/2006/relationships/hyperlink" Target="https://nuevarevolucion.es/oda-la-bandera/" TargetMode="External"/><Relationship Id="rId848" Type="http://schemas.openxmlformats.org/officeDocument/2006/relationships/hyperlink" Target="https://www.youtube.com/channel/UCzAeV22GnQxwUBokDOEyb4A" TargetMode="External"/><Relationship Id="rId1033" Type="http://schemas.openxmlformats.org/officeDocument/2006/relationships/hyperlink" Target="https://pbs.twimg.com/media/Dsjeus9XoAYYxaq.jpg" TargetMode="External"/><Relationship Id="rId1478" Type="http://schemas.openxmlformats.org/officeDocument/2006/relationships/hyperlink" Target="https://www.cordoba.es/" TargetMode="External"/><Relationship Id="rId1685" Type="http://schemas.openxmlformats.org/officeDocument/2006/relationships/hyperlink" Target="http://pic.twitter.com/5aJO664TQm" TargetMode="External"/><Relationship Id="rId1892" Type="http://schemas.openxmlformats.org/officeDocument/2006/relationships/hyperlink" Target="http://www.ciudadanos-cs.org/" TargetMode="External"/><Relationship Id="rId2431" Type="http://schemas.openxmlformats.org/officeDocument/2006/relationships/hyperlink" Target="http://www.ciudadanos-cs.org/" TargetMode="External"/><Relationship Id="rId2529" Type="http://schemas.openxmlformats.org/officeDocument/2006/relationships/hyperlink" Target="http://dlvr.it/QrgdHd" TargetMode="External"/><Relationship Id="rId2736" Type="http://schemas.openxmlformats.org/officeDocument/2006/relationships/hyperlink" Target="http://www.elmundo.es/cataluna/2018/11/20/5bf30ac5468aeb7a7e8b4607.html" TargetMode="External"/><Relationship Id="rId610" Type="http://schemas.openxmlformats.org/officeDocument/2006/relationships/hyperlink" Target="http://www.redaccionmedica.com/" TargetMode="External"/><Relationship Id="rId708" Type="http://schemas.openxmlformats.org/officeDocument/2006/relationships/hyperlink" Target="http://pic.twitter.com/cCVhEbwr2r" TargetMode="External"/><Relationship Id="rId915" Type="http://schemas.openxmlformats.org/officeDocument/2006/relationships/hyperlink" Target="http://carlreguera.blogspot.com.es/" TargetMode="External"/><Relationship Id="rId1240" Type="http://schemas.openxmlformats.org/officeDocument/2006/relationships/hyperlink" Target="http://pic.twitter.com/DbHOi11xcy" TargetMode="External"/><Relationship Id="rId1338" Type="http://schemas.openxmlformats.org/officeDocument/2006/relationships/hyperlink" Target="https://www.facebook.com/psoefondon/videos/519404998574698/" TargetMode="External"/><Relationship Id="rId1545" Type="http://schemas.openxmlformats.org/officeDocument/2006/relationships/hyperlink" Target="https://www.instagram.com/nachete91/" TargetMode="External"/><Relationship Id="rId1100" Type="http://schemas.openxmlformats.org/officeDocument/2006/relationships/hyperlink" Target="https://www.facebook.com/pages/Ciudadanos-Pescados/921115804614055?fref=nf" TargetMode="External"/><Relationship Id="rId1405" Type="http://schemas.openxmlformats.org/officeDocument/2006/relationships/hyperlink" Target="https://twitter.com/dilleu/status/1064975568586854400" TargetMode="External"/><Relationship Id="rId1752" Type="http://schemas.openxmlformats.org/officeDocument/2006/relationships/hyperlink" Target="http://www.hoyporhoy.es/" TargetMode="External"/><Relationship Id="rId2803" Type="http://schemas.openxmlformats.org/officeDocument/2006/relationships/hyperlink" Target="https://www.eljueves.es/news/albert-rivera-se-pasa-flamenco-para-conseguirse-unos-grammys-2_2958?utm_source=facebook&amp;utm_medium=social&amp;utm_campaign=trafico" TargetMode="External"/><Relationship Id="rId44" Type="http://schemas.openxmlformats.org/officeDocument/2006/relationships/hyperlink" Target="http://pic.twitter.com/gkOjUsIXcF" TargetMode="External"/><Relationship Id="rId1612" Type="http://schemas.openxmlformats.org/officeDocument/2006/relationships/hyperlink" Target="https://www.compostela24horas.com/texto-diario/mostrar/1259516/rivera-afirma-pedro-sanchez-solo-importa-formar-mayoria-politica-cambio-indultos" TargetMode="External"/><Relationship Id="rId1917" Type="http://schemas.openxmlformats.org/officeDocument/2006/relationships/hyperlink" Target="https://pbs.twimg.com/media/Dsd13jTVYAAsuW9.jpg" TargetMode="External"/><Relationship Id="rId193" Type="http://schemas.openxmlformats.org/officeDocument/2006/relationships/hyperlink" Target="https://www.youtube.com/watch?v=Vn5QOJG3_SM" TargetMode="External"/><Relationship Id="rId498" Type="http://schemas.openxmlformats.org/officeDocument/2006/relationships/hyperlink" Target="https://www.lapandereta.es/albert-rivera-evita-por-todos-los-medios-calificar-a-vox-de-extrema-derecha/?fbclid=IwAR0fkhbHZS6WI2wymk5ijI73dSeQBWrbxgruMQ_xlmn65JIRrZyfjGZ_G0A" TargetMode="External"/><Relationship Id="rId2081" Type="http://schemas.openxmlformats.org/officeDocument/2006/relationships/hyperlink" Target="http://page.is/manuela-murias" TargetMode="External"/><Relationship Id="rId2179" Type="http://schemas.openxmlformats.org/officeDocument/2006/relationships/hyperlink" Target="http://pic.twitter.com/oZlYoUPyZb" TargetMode="External"/><Relationship Id="rId260" Type="http://schemas.openxmlformats.org/officeDocument/2006/relationships/hyperlink" Target="https://pbs.twimg.com/media/DspCs7jU0AA6ZA6.jpg" TargetMode="External"/><Relationship Id="rId2386" Type="http://schemas.openxmlformats.org/officeDocument/2006/relationships/hyperlink" Target="https://goo.gl/p9XVc1" TargetMode="External"/><Relationship Id="rId2593" Type="http://schemas.openxmlformats.org/officeDocument/2006/relationships/hyperlink" Target="http://www.huffingtonpost.es/" TargetMode="External"/><Relationship Id="rId120" Type="http://schemas.openxmlformats.org/officeDocument/2006/relationships/hyperlink" Target="https://twitter.com/JPBellido/status/1065742508515299334" TargetMode="External"/><Relationship Id="rId358" Type="http://schemas.openxmlformats.org/officeDocument/2006/relationships/hyperlink" Target="https://pbs.twimg.com/media/DsoXhkJVsAEM396.jpg" TargetMode="External"/><Relationship Id="rId565" Type="http://schemas.openxmlformats.org/officeDocument/2006/relationships/hyperlink" Target="https://www.eldiario.es/_31f65118" TargetMode="External"/><Relationship Id="rId772" Type="http://schemas.openxmlformats.org/officeDocument/2006/relationships/hyperlink" Target="http://www.lasexta.com/noticias/" TargetMode="External"/><Relationship Id="rId1195" Type="http://schemas.openxmlformats.org/officeDocument/2006/relationships/hyperlink" Target="https://pbs.twimg.com/media/Dsh4_XYWkAEmPTa.jpg" TargetMode="External"/><Relationship Id="rId2039" Type="http://schemas.openxmlformats.org/officeDocument/2006/relationships/hyperlink" Target="http://www.elespanol.com/daniel_ramirez/" TargetMode="External"/><Relationship Id="rId2246" Type="http://schemas.openxmlformats.org/officeDocument/2006/relationships/hyperlink" Target="https://www.ciudadanos-cs.org/" TargetMode="External"/><Relationship Id="rId2453" Type="http://schemas.openxmlformats.org/officeDocument/2006/relationships/hyperlink" Target="https://www.elmundo.es/espana/2018/11/20/5bf3e474e2704ec6568b4825.html" TargetMode="External"/><Relationship Id="rId2660" Type="http://schemas.openxmlformats.org/officeDocument/2006/relationships/hyperlink" Target="http://rosamariaartal.wordpress.com/" TargetMode="External"/><Relationship Id="rId218" Type="http://schemas.openxmlformats.org/officeDocument/2006/relationships/hyperlink" Target="https://pbs.twimg.com/media/Dsqq1XRVYAAVNzO.jpg" TargetMode="External"/><Relationship Id="rId425" Type="http://schemas.openxmlformats.org/officeDocument/2006/relationships/hyperlink" Target="https://pbs.twimg.com/media/DsoDCuFWwAE2S16.jpg" TargetMode="External"/><Relationship Id="rId632" Type="http://schemas.openxmlformats.org/officeDocument/2006/relationships/hyperlink" Target="http://www.lasexta.com/" TargetMode="External"/><Relationship Id="rId1055" Type="http://schemas.openxmlformats.org/officeDocument/2006/relationships/hyperlink" Target="https://www.eldiario.es/_31f65118" TargetMode="External"/><Relationship Id="rId1262" Type="http://schemas.openxmlformats.org/officeDocument/2006/relationships/hyperlink" Target="http://www.bitmomentum.com/" TargetMode="External"/><Relationship Id="rId2106" Type="http://schemas.openxmlformats.org/officeDocument/2006/relationships/hyperlink" Target="https://youtu.be/NVSW54BAaOM" TargetMode="External"/><Relationship Id="rId2313" Type="http://schemas.openxmlformats.org/officeDocument/2006/relationships/hyperlink" Target="https://www.facebook.com/vicente.ten/" TargetMode="External"/><Relationship Id="rId2520" Type="http://schemas.openxmlformats.org/officeDocument/2006/relationships/hyperlink" Target="https://twitter.com/rifepa86/status/1064763163919491072" TargetMode="External"/><Relationship Id="rId2758" Type="http://schemas.openxmlformats.org/officeDocument/2006/relationships/hyperlink" Target="http://coquegarcia.cat/" TargetMode="External"/><Relationship Id="rId937" Type="http://schemas.openxmlformats.org/officeDocument/2006/relationships/hyperlink" Target="http://pic.twitter.com/M3rR3IPqUq" TargetMode="External"/><Relationship Id="rId1122" Type="http://schemas.openxmlformats.org/officeDocument/2006/relationships/hyperlink" Target="http://alexplusextend.blogspot.com.es/" TargetMode="External"/><Relationship Id="rId1567" Type="http://schemas.openxmlformats.org/officeDocument/2006/relationships/hyperlink" Target="http://www.eitb.eus/es/television/programas/en-jake/" TargetMode="External"/><Relationship Id="rId1774" Type="http://schemas.openxmlformats.org/officeDocument/2006/relationships/hyperlink" Target="http://www.sohotelvalencia.com/" TargetMode="External"/><Relationship Id="rId1981" Type="http://schemas.openxmlformats.org/officeDocument/2006/relationships/hyperlink" Target="https://pbs.twimg.com/media/DsdI4_9XQAAERuS.jpg" TargetMode="External"/><Relationship Id="rId2618" Type="http://schemas.openxmlformats.org/officeDocument/2006/relationships/hyperlink" Target="https://www.elmundo.es/cataluna/2018/11/20/5bf30ac5468aeb7a7e8b4607.html" TargetMode="External"/><Relationship Id="rId66" Type="http://schemas.openxmlformats.org/officeDocument/2006/relationships/hyperlink" Target="http://pic.twitter.com/lmLvD9ZPV1" TargetMode="External"/><Relationship Id="rId1427" Type="http://schemas.openxmlformats.org/officeDocument/2006/relationships/hyperlink" Target="http://www.ciudadanos-cs.org/" TargetMode="External"/><Relationship Id="rId1634" Type="http://schemas.openxmlformats.org/officeDocument/2006/relationships/hyperlink" Target="https://pbs.twimg.com/media/DsgwGuqU8AEeA9d.jpg" TargetMode="External"/><Relationship Id="rId1841" Type="http://schemas.openxmlformats.org/officeDocument/2006/relationships/hyperlink" Target="http://www.bitmomentum.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U2501"/>
  <sheetViews>
    <sheetView tabSelected="1" workbookViewId="0">
      <pane ySplit="2" topLeftCell="A3" activePane="bottomLeft" state="frozen"/>
      <selection pane="bottomLeft" activeCell="B4" sqref="B4"/>
    </sheetView>
  </sheetViews>
  <sheetFormatPr defaultColWidth="14.44140625" defaultRowHeight="15.75" customHeight="1"/>
  <cols>
    <col min="1" max="1" width="15.33203125" customWidth="1"/>
    <col min="3" max="3" width="16.33203125" customWidth="1"/>
    <col min="4" max="4" width="41.5546875" customWidth="1"/>
    <col min="5" max="5" width="17.6640625" customWidth="1"/>
    <col min="6" max="11" width="16.109375" customWidth="1"/>
    <col min="12" max="16" width="11.109375" customWidth="1"/>
    <col min="18" max="18" width="34.33203125" customWidth="1"/>
    <col min="19" max="19" width="19.6640625" customWidth="1"/>
    <col min="20" max="21" width="12" customWidth="1"/>
  </cols>
  <sheetData>
    <row r="1" spans="1:21" ht="25.5" customHeight="1">
      <c r="A1" s="31" t="s">
        <v>1</v>
      </c>
      <c r="B1" s="32"/>
      <c r="C1" s="32"/>
      <c r="D1" s="32"/>
      <c r="E1" s="32"/>
      <c r="F1" s="32"/>
      <c r="G1" s="32"/>
      <c r="H1" s="32"/>
      <c r="I1" s="32"/>
      <c r="J1" s="32"/>
      <c r="K1" s="32"/>
      <c r="L1" s="33" t="s">
        <v>2</v>
      </c>
      <c r="M1" s="32"/>
      <c r="N1" s="32"/>
      <c r="O1" s="32"/>
      <c r="P1" s="32"/>
      <c r="Q1" s="32"/>
      <c r="R1" s="32"/>
      <c r="S1" s="32"/>
      <c r="T1" s="32"/>
      <c r="U1" s="32"/>
    </row>
    <row r="2" spans="1:21" ht="29.25" customHeight="1">
      <c r="A2" s="1" t="s">
        <v>0</v>
      </c>
      <c r="B2" s="2" t="s">
        <v>3</v>
      </c>
      <c r="C2" s="2" t="s">
        <v>4</v>
      </c>
      <c r="D2" s="3" t="s">
        <v>5</v>
      </c>
      <c r="E2" s="4" t="s">
        <v>6</v>
      </c>
      <c r="F2" s="4" t="s">
        <v>7</v>
      </c>
      <c r="G2" s="4" t="s">
        <v>8</v>
      </c>
      <c r="H2" s="4" t="s">
        <v>9</v>
      </c>
      <c r="I2" s="2" t="s">
        <v>10</v>
      </c>
      <c r="J2" s="2" t="s">
        <v>11</v>
      </c>
      <c r="K2" s="4" t="s">
        <v>12</v>
      </c>
      <c r="L2" s="2" t="s">
        <v>13</v>
      </c>
      <c r="M2" s="2" t="s">
        <v>14</v>
      </c>
      <c r="N2" s="4" t="s">
        <v>15</v>
      </c>
      <c r="O2" s="4" t="s">
        <v>16</v>
      </c>
      <c r="P2" s="4" t="s">
        <v>17</v>
      </c>
      <c r="Q2" s="4" t="s">
        <v>9</v>
      </c>
      <c r="R2" s="5" t="s">
        <v>18</v>
      </c>
      <c r="S2" s="4" t="s">
        <v>19</v>
      </c>
      <c r="T2" s="4" t="s">
        <v>20</v>
      </c>
      <c r="U2" s="4" t="s">
        <v>21</v>
      </c>
    </row>
    <row r="3" spans="1:21" ht="102">
      <c r="A3" s="6">
        <v>43427.678981481484</v>
      </c>
      <c r="B3" s="7" t="str">
        <f>HYPERLINK("https://twitter.com/paula_canarias","@paula_canarias")</f>
        <v>@paula_canarias</v>
      </c>
      <c r="C3" s="8" t="s">
        <v>22</v>
      </c>
      <c r="D3" s="9" t="s">
        <v>23</v>
      </c>
      <c r="E3" s="10" t="str">
        <f>HYPERLINK("https://twitter.com/paula_canarias/status/1065987771158970368","1065987771158970368")</f>
        <v>1065987771158970368</v>
      </c>
      <c r="F3" s="11" t="s">
        <v>24</v>
      </c>
      <c r="G3" s="11" t="s">
        <v>25</v>
      </c>
      <c r="H3" s="12"/>
      <c r="I3" s="13">
        <v>0</v>
      </c>
      <c r="J3" s="13">
        <v>0</v>
      </c>
      <c r="K3" s="14" t="str">
        <f>HYPERLINK("http://twitter.com/download/android","Twitter for Android")</f>
        <v>Twitter for Android</v>
      </c>
      <c r="L3" s="13">
        <v>1208</v>
      </c>
      <c r="M3" s="13">
        <v>447</v>
      </c>
      <c r="N3" s="13">
        <v>140</v>
      </c>
      <c r="O3" s="15"/>
      <c r="P3" s="6">
        <v>41221.617488425924</v>
      </c>
      <c r="Q3" s="16" t="s">
        <v>26</v>
      </c>
      <c r="R3" s="17" t="s">
        <v>27</v>
      </c>
      <c r="S3" s="11" t="s">
        <v>28</v>
      </c>
      <c r="T3" s="12"/>
      <c r="U3" s="10" t="str">
        <f>HYPERLINK("https://pbs.twimg.com/profile_images/768114996584845313/NDw8Ik90.jpg","View")</f>
        <v>View</v>
      </c>
    </row>
    <row r="4" spans="1:21" ht="40.799999999999997">
      <c r="A4" s="6">
        <v>43427.673321759255</v>
      </c>
      <c r="B4" s="7" t="str">
        <f>HYPERLINK("https://twitter.com/migupelo2","@migupelo2")</f>
        <v>@migupelo2</v>
      </c>
      <c r="C4" s="8" t="s">
        <v>29</v>
      </c>
      <c r="D4" s="9" t="s">
        <v>30</v>
      </c>
      <c r="E4" s="10" t="str">
        <f>HYPERLINK("https://twitter.com/migupelo2/status/1065985719112482816","1065985719112482816")</f>
        <v>1065985719112482816</v>
      </c>
      <c r="F4" s="11" t="s">
        <v>31</v>
      </c>
      <c r="G4" s="12"/>
      <c r="H4" s="12"/>
      <c r="I4" s="13">
        <v>0</v>
      </c>
      <c r="J4" s="13">
        <v>0</v>
      </c>
      <c r="K4" s="14" t="str">
        <f>HYPERLINK("http://twitter.com","Twitter Web Client")</f>
        <v>Twitter Web Client</v>
      </c>
      <c r="L4" s="13">
        <v>264</v>
      </c>
      <c r="M4" s="13">
        <v>760</v>
      </c>
      <c r="N4" s="13">
        <v>18</v>
      </c>
      <c r="O4" s="15"/>
      <c r="P4" s="6">
        <v>40477.868043981478</v>
      </c>
      <c r="Q4" s="12"/>
      <c r="R4" s="17" t="s">
        <v>32</v>
      </c>
      <c r="S4" s="12"/>
      <c r="T4" s="12"/>
      <c r="U4" s="10" t="str">
        <f>HYPERLINK("https://pbs.twimg.com/profile_images/2906316440/4ed1570f50fd6f70f1b28d458997dd81.jpeg","View")</f>
        <v>View</v>
      </c>
    </row>
    <row r="5" spans="1:21" ht="51">
      <c r="A5" s="6">
        <v>43427.671099537038</v>
      </c>
      <c r="B5" s="7" t="str">
        <f>HYPERLINK("https://twitter.com/IsabelCabezasRe","@IsabelCabezasRe")</f>
        <v>@IsabelCabezasRe</v>
      </c>
      <c r="C5" s="8" t="s">
        <v>33</v>
      </c>
      <c r="D5" s="9" t="s">
        <v>34</v>
      </c>
      <c r="E5" s="10" t="str">
        <f>HYPERLINK("https://twitter.com/IsabelCabezasRe/status/1065984915274117120","1065984915274117120")</f>
        <v>1065984915274117120</v>
      </c>
      <c r="F5" s="16" t="s">
        <v>35</v>
      </c>
      <c r="G5" s="12"/>
      <c r="H5" s="12"/>
      <c r="I5" s="13">
        <v>3</v>
      </c>
      <c r="J5" s="13">
        <v>3</v>
      </c>
      <c r="K5" s="14" t="str">
        <f>HYPERLINK("http://twitter.com/download/iphone","Twitter for iPhone")</f>
        <v>Twitter for iPhone</v>
      </c>
      <c r="L5" s="13">
        <v>1115</v>
      </c>
      <c r="M5" s="13">
        <v>741</v>
      </c>
      <c r="N5" s="13">
        <v>30</v>
      </c>
      <c r="O5" s="18" t="s">
        <v>36</v>
      </c>
      <c r="P5" s="6">
        <v>41951.08079861111</v>
      </c>
      <c r="Q5" s="16" t="s">
        <v>37</v>
      </c>
      <c r="R5" s="17" t="s">
        <v>39</v>
      </c>
      <c r="S5" s="12"/>
      <c r="T5" s="12"/>
      <c r="U5" s="10" t="str">
        <f>HYPERLINK("https://pbs.twimg.com/profile_images/1050048676721246209/ONa8OARl.jpg","View")</f>
        <v>View</v>
      </c>
    </row>
    <row r="6" spans="1:21" ht="20.399999999999999">
      <c r="A6" s="6">
        <v>43427.671030092592</v>
      </c>
      <c r="B6" s="7" t="str">
        <f>HYPERLINK("https://twitter.com/JaimeBustilloME","@JaimeBustilloME")</f>
        <v>@JaimeBustilloME</v>
      </c>
      <c r="C6" s="8" t="s">
        <v>41</v>
      </c>
      <c r="D6" s="9" t="s">
        <v>42</v>
      </c>
      <c r="E6" s="10" t="str">
        <f>HYPERLINK("https://twitter.com/JaimeBustilloME/status/1065984889907044352","1065984889907044352")</f>
        <v>1065984889907044352</v>
      </c>
      <c r="F6" s="12"/>
      <c r="G6" s="12"/>
      <c r="H6" s="12"/>
      <c r="I6" s="13">
        <v>0</v>
      </c>
      <c r="J6" s="13">
        <v>0</v>
      </c>
      <c r="K6" s="14" t="str">
        <f t="shared" ref="K6:K7" si="0">HYPERLINK("http://twitter.com/download/android","Twitter for Android")</f>
        <v>Twitter for Android</v>
      </c>
      <c r="L6" s="13">
        <v>418</v>
      </c>
      <c r="M6" s="13">
        <v>1367</v>
      </c>
      <c r="N6" s="13">
        <v>11</v>
      </c>
      <c r="O6" s="15"/>
      <c r="P6" s="6">
        <v>40938.992465277777</v>
      </c>
      <c r="Q6" s="16" t="s">
        <v>43</v>
      </c>
      <c r="R6" s="19"/>
      <c r="S6" s="12"/>
      <c r="T6" s="12"/>
      <c r="U6" s="10" t="str">
        <f>HYPERLINK("https://pbs.twimg.com/profile_images/1793989916/Melilla-20120102-00038.jpg","View")</f>
        <v>View</v>
      </c>
    </row>
    <row r="7" spans="1:21" ht="71.400000000000006">
      <c r="A7" s="6">
        <v>43427.669907407406</v>
      </c>
      <c r="B7" s="7" t="str">
        <f>HYPERLINK("https://twitter.com/Faldo_SG","@Faldo_SG")</f>
        <v>@Faldo_SG</v>
      </c>
      <c r="C7" s="8" t="s">
        <v>44</v>
      </c>
      <c r="D7" s="9" t="s">
        <v>45</v>
      </c>
      <c r="E7" s="10" t="str">
        <f>HYPERLINK("https://twitter.com/Faldo_SG/status/1065984483923554304","1065984483923554304")</f>
        <v>1065984483923554304</v>
      </c>
      <c r="F7" s="11" t="s">
        <v>46</v>
      </c>
      <c r="G7" s="11" t="s">
        <v>47</v>
      </c>
      <c r="H7" s="12"/>
      <c r="I7" s="13">
        <v>0</v>
      </c>
      <c r="J7" s="13">
        <v>0</v>
      </c>
      <c r="K7" s="14" t="str">
        <f t="shared" si="0"/>
        <v>Twitter for Android</v>
      </c>
      <c r="L7" s="13">
        <v>290</v>
      </c>
      <c r="M7" s="13">
        <v>151</v>
      </c>
      <c r="N7" s="13">
        <v>1</v>
      </c>
      <c r="O7" s="15"/>
      <c r="P7" s="6">
        <v>40939.416168981479</v>
      </c>
      <c r="Q7" s="16" t="s">
        <v>48</v>
      </c>
      <c r="R7" s="17" t="s">
        <v>49</v>
      </c>
      <c r="S7" s="11" t="s">
        <v>50</v>
      </c>
      <c r="T7" s="12"/>
      <c r="U7" s="10" t="str">
        <f>HYPERLINK("https://pbs.twimg.com/profile_images/1054046846031671298/wRzfCaQN.jpg","View")</f>
        <v>View</v>
      </c>
    </row>
    <row r="8" spans="1:21" ht="51">
      <c r="A8" s="6">
        <v>43427.669432870374</v>
      </c>
      <c r="B8" s="7" t="str">
        <f>HYPERLINK("https://twitter.com/MaribelMtnez","@MaribelMtnez")</f>
        <v>@MaribelMtnez</v>
      </c>
      <c r="C8" s="8" t="s">
        <v>51</v>
      </c>
      <c r="D8" s="9" t="s">
        <v>52</v>
      </c>
      <c r="E8" s="10" t="str">
        <f>HYPERLINK("https://twitter.com/MaribelMtnez/status/1065984309503451136","1065984309503451136")</f>
        <v>1065984309503451136</v>
      </c>
      <c r="F8" s="12"/>
      <c r="G8" s="11" t="s">
        <v>53</v>
      </c>
      <c r="H8" s="12"/>
      <c r="I8" s="13">
        <v>0</v>
      </c>
      <c r="J8" s="13">
        <v>0</v>
      </c>
      <c r="K8" s="14" t="str">
        <f t="shared" ref="K8:K11" si="1">HYPERLINK("http://twitter.com","Twitter Web Client")</f>
        <v>Twitter Web Client</v>
      </c>
      <c r="L8" s="13">
        <v>1042</v>
      </c>
      <c r="M8" s="13">
        <v>421</v>
      </c>
      <c r="N8" s="13">
        <v>31</v>
      </c>
      <c r="O8" s="15"/>
      <c r="P8" s="6">
        <v>40821.675266203703</v>
      </c>
      <c r="Q8" s="16" t="s">
        <v>54</v>
      </c>
      <c r="R8" s="17" t="s">
        <v>55</v>
      </c>
      <c r="S8" s="12"/>
      <c r="T8" s="12"/>
      <c r="U8" s="10" t="str">
        <f>HYPERLINK("https://pbs.twimg.com/profile_images/1031810516002504704/c92eg_GX.jpg","View")</f>
        <v>View</v>
      </c>
    </row>
    <row r="9" spans="1:21" ht="51">
      <c r="A9" s="6">
        <v>43427.669363425928</v>
      </c>
      <c r="B9" s="7" t="str">
        <f>HYPERLINK("https://twitter.com/Akahge1","@Akahge1")</f>
        <v>@Akahge1</v>
      </c>
      <c r="C9" s="8" t="s">
        <v>56</v>
      </c>
      <c r="D9" s="9" t="s">
        <v>57</v>
      </c>
      <c r="E9" s="10" t="str">
        <f>HYPERLINK("https://twitter.com/Akahge1/status/1065984287273562112","1065984287273562112")</f>
        <v>1065984287273562112</v>
      </c>
      <c r="F9" s="12"/>
      <c r="G9" s="12"/>
      <c r="H9" s="12"/>
      <c r="I9" s="13">
        <v>0</v>
      </c>
      <c r="J9" s="13">
        <v>0</v>
      </c>
      <c r="K9" s="14" t="str">
        <f t="shared" si="1"/>
        <v>Twitter Web Client</v>
      </c>
      <c r="L9" s="13">
        <v>1</v>
      </c>
      <c r="M9" s="13">
        <v>33</v>
      </c>
      <c r="N9" s="13">
        <v>0</v>
      </c>
      <c r="O9" s="15"/>
      <c r="P9" s="6">
        <v>43393.465532407412</v>
      </c>
      <c r="Q9" s="12"/>
      <c r="R9" s="17" t="s">
        <v>59</v>
      </c>
      <c r="S9" s="12"/>
      <c r="T9" s="12"/>
      <c r="U9" s="10" t="str">
        <f>HYPERLINK("https://pbs.twimg.com/profile_images/1053575404185890816/OU2bOQrD.jpg","View")</f>
        <v>View</v>
      </c>
    </row>
    <row r="10" spans="1:21" ht="91.8">
      <c r="A10" s="6">
        <v>43427.668182870373</v>
      </c>
      <c r="B10" s="7" t="str">
        <f>HYPERLINK("https://twitter.com/itxasocg","@itxasocg")</f>
        <v>@itxasocg</v>
      </c>
      <c r="C10" s="8" t="s">
        <v>61</v>
      </c>
      <c r="D10" s="9" t="s">
        <v>62</v>
      </c>
      <c r="E10" s="10" t="str">
        <f>HYPERLINK("https://twitter.com/itxasocg/status/1065983856258547712","1065983856258547712")</f>
        <v>1065983856258547712</v>
      </c>
      <c r="F10" s="16" t="s">
        <v>63</v>
      </c>
      <c r="G10" s="12"/>
      <c r="H10" s="12"/>
      <c r="I10" s="13">
        <v>0</v>
      </c>
      <c r="J10" s="13">
        <v>0</v>
      </c>
      <c r="K10" s="14" t="str">
        <f t="shared" si="1"/>
        <v>Twitter Web Client</v>
      </c>
      <c r="L10" s="13">
        <v>35</v>
      </c>
      <c r="M10" s="13">
        <v>128</v>
      </c>
      <c r="N10" s="13">
        <v>0</v>
      </c>
      <c r="O10" s="15"/>
      <c r="P10" s="6">
        <v>43009.694351851853</v>
      </c>
      <c r="Q10" s="16" t="s">
        <v>66</v>
      </c>
      <c r="R10" s="17" t="s">
        <v>67</v>
      </c>
      <c r="S10" s="12"/>
      <c r="T10" s="12"/>
      <c r="U10" s="10" t="str">
        <f>HYPERLINK("https://pbs.twimg.com/profile_images/914502517425410048/vh0Ymm1T.jpg","View")</f>
        <v>View</v>
      </c>
    </row>
    <row r="11" spans="1:21" ht="51">
      <c r="A11" s="6">
        <v>43427.666296296295</v>
      </c>
      <c r="B11" s="7" t="str">
        <f>HYPERLINK("https://twitter.com/MiguelBarranco5","@MiguelBarranco5")</f>
        <v>@MiguelBarranco5</v>
      </c>
      <c r="C11" s="8" t="s">
        <v>69</v>
      </c>
      <c r="D11" s="9" t="s">
        <v>70</v>
      </c>
      <c r="E11" s="10" t="str">
        <f>HYPERLINK("https://twitter.com/MiguelBarranco5/status/1065983175955017729","1065983175955017729")</f>
        <v>1065983175955017729</v>
      </c>
      <c r="F11" s="12"/>
      <c r="G11" s="12"/>
      <c r="H11" s="12"/>
      <c r="I11" s="13">
        <v>0</v>
      </c>
      <c r="J11" s="13">
        <v>0</v>
      </c>
      <c r="K11" s="14" t="str">
        <f t="shared" si="1"/>
        <v>Twitter Web Client</v>
      </c>
      <c r="L11" s="13">
        <v>1452</v>
      </c>
      <c r="M11" s="13">
        <v>1422</v>
      </c>
      <c r="N11" s="13">
        <v>9</v>
      </c>
      <c r="O11" s="15"/>
      <c r="P11" s="6">
        <v>41208.504942129628</v>
      </c>
      <c r="Q11" s="16" t="s">
        <v>75</v>
      </c>
      <c r="R11" s="17" t="s">
        <v>76</v>
      </c>
      <c r="S11" s="11" t="s">
        <v>77</v>
      </c>
      <c r="T11" s="12"/>
      <c r="U11" s="10" t="str">
        <f>HYPERLINK("https://pbs.twimg.com/profile_images/525980595369689088/B7ebP6D4.jpeg","View")</f>
        <v>View</v>
      </c>
    </row>
    <row r="12" spans="1:21" ht="20.399999999999999">
      <c r="A12" s="6">
        <v>43427.663784722223</v>
      </c>
      <c r="B12" s="7" t="str">
        <f>HYPERLINK("https://twitter.com/Fallasartist","@Fallasartist")</f>
        <v>@Fallasartist</v>
      </c>
      <c r="C12" s="8" t="s">
        <v>80</v>
      </c>
      <c r="D12" s="9" t="s">
        <v>81</v>
      </c>
      <c r="E12" s="10" t="str">
        <f>HYPERLINK("https://twitter.com/Fallasartist/status/1065982265447129088","1065982265447129088")</f>
        <v>1065982265447129088</v>
      </c>
      <c r="F12" s="11" t="s">
        <v>82</v>
      </c>
      <c r="G12" s="12"/>
      <c r="H12" s="12"/>
      <c r="I12" s="13">
        <v>0</v>
      </c>
      <c r="J12" s="13">
        <v>0</v>
      </c>
      <c r="K12" s="14" t="str">
        <f>HYPERLINK("http://twitter.com/download/iphone","Twitter for iPhone")</f>
        <v>Twitter for iPhone</v>
      </c>
      <c r="L12" s="13">
        <v>216</v>
      </c>
      <c r="M12" s="13">
        <v>254</v>
      </c>
      <c r="N12" s="13">
        <v>2</v>
      </c>
      <c r="O12" s="15"/>
      <c r="P12" s="6">
        <v>40669.97283564815</v>
      </c>
      <c r="Q12" s="16" t="s">
        <v>85</v>
      </c>
      <c r="R12" s="17" t="s">
        <v>86</v>
      </c>
      <c r="S12" s="11" t="s">
        <v>87</v>
      </c>
      <c r="T12" s="12"/>
      <c r="U12" s="10" t="str">
        <f>HYPERLINK("https://pbs.twimg.com/profile_images/899339437150228480/mEQmTYjH.jpg","View")</f>
        <v>View</v>
      </c>
    </row>
    <row r="13" spans="1:21" ht="71.400000000000006">
      <c r="A13" s="6">
        <v>43427.662800925929</v>
      </c>
      <c r="B13" s="7" t="str">
        <f>HYPERLINK("https://twitter.com/AdriStickman","@AdriStickman")</f>
        <v>@AdriStickman</v>
      </c>
      <c r="C13" s="8" t="s">
        <v>83</v>
      </c>
      <c r="D13" s="9" t="s">
        <v>84</v>
      </c>
      <c r="E13" s="10" t="str">
        <f>HYPERLINK("https://twitter.com/AdriStickman/status/1065981909648515074","1065981909648515074")</f>
        <v>1065981909648515074</v>
      </c>
      <c r="F13" s="11" t="s">
        <v>38</v>
      </c>
      <c r="G13" s="11" t="s">
        <v>40</v>
      </c>
      <c r="H13" s="12"/>
      <c r="I13" s="13">
        <v>0</v>
      </c>
      <c r="J13" s="13">
        <v>0</v>
      </c>
      <c r="K13" s="14" t="str">
        <f>HYPERLINK("http://twitter.com","Twitter Web Client")</f>
        <v>Twitter Web Client</v>
      </c>
      <c r="L13" s="13">
        <v>306</v>
      </c>
      <c r="M13" s="13">
        <v>314</v>
      </c>
      <c r="N13" s="13">
        <v>25</v>
      </c>
      <c r="O13" s="15"/>
      <c r="P13" s="6">
        <v>40498.488819444443</v>
      </c>
      <c r="Q13" s="16" t="s">
        <v>88</v>
      </c>
      <c r="R13" s="17" t="s">
        <v>89</v>
      </c>
      <c r="S13" s="11" t="s">
        <v>90</v>
      </c>
      <c r="T13" s="12"/>
      <c r="U13" s="10" t="str">
        <f>HYPERLINK("https://pbs.twimg.com/profile_images/1029424149993799681/N6kzp-vs.jpg","View")</f>
        <v>View</v>
      </c>
    </row>
    <row r="14" spans="1:21" ht="20.399999999999999">
      <c r="A14" s="6">
        <v>43427.659594907411</v>
      </c>
      <c r="B14" s="7" t="str">
        <f>HYPERLINK("https://twitter.com/Lexucristo","@Lexucristo")</f>
        <v>@Lexucristo</v>
      </c>
      <c r="C14" s="8" t="s">
        <v>91</v>
      </c>
      <c r="D14" s="9" t="s">
        <v>92</v>
      </c>
      <c r="E14" s="10" t="str">
        <f>HYPERLINK("https://twitter.com/Lexucristo/status/1065980745766838272","1065980745766838272")</f>
        <v>1065980745766838272</v>
      </c>
      <c r="F14" s="12"/>
      <c r="G14" s="12"/>
      <c r="H14" s="12"/>
      <c r="I14" s="13">
        <v>0</v>
      </c>
      <c r="J14" s="13">
        <v>0</v>
      </c>
      <c r="K14" s="14" t="str">
        <f>HYPERLINK("http://twitter.com/download/iphone","Twitter for iPhone")</f>
        <v>Twitter for iPhone</v>
      </c>
      <c r="L14" s="13">
        <v>289</v>
      </c>
      <c r="M14" s="13">
        <v>98</v>
      </c>
      <c r="N14" s="13">
        <v>17</v>
      </c>
      <c r="O14" s="15"/>
      <c r="P14" s="6">
        <v>41324.060567129629</v>
      </c>
      <c r="Q14" s="16" t="s">
        <v>93</v>
      </c>
      <c r="R14" s="17" t="s">
        <v>94</v>
      </c>
      <c r="S14" s="11" t="s">
        <v>95</v>
      </c>
      <c r="T14" s="12"/>
      <c r="U14" s="10" t="str">
        <f>HYPERLINK("https://pbs.twimg.com/profile_images/1065607035289563136/NNfj-aRb.jpg","View")</f>
        <v>View</v>
      </c>
    </row>
    <row r="15" spans="1:21" ht="51">
      <c r="A15" s="6">
        <v>43427.65725694444</v>
      </c>
      <c r="B15" s="7" t="str">
        <f>HYPERLINK("https://twitter.com/JoaquinStrummer","@JoaquinStrummer")</f>
        <v>@JoaquinStrummer</v>
      </c>
      <c r="C15" s="8" t="s">
        <v>100</v>
      </c>
      <c r="D15" s="9" t="s">
        <v>101</v>
      </c>
      <c r="E15" s="10" t="str">
        <f>HYPERLINK("https://twitter.com/JoaquinStrummer/status/1065979898903359488","1065979898903359488")</f>
        <v>1065979898903359488</v>
      </c>
      <c r="F15" s="12"/>
      <c r="G15" s="11" t="s">
        <v>105</v>
      </c>
      <c r="H15" s="12"/>
      <c r="I15" s="13">
        <v>0</v>
      </c>
      <c r="J15" s="13">
        <v>0</v>
      </c>
      <c r="K15" s="14" t="str">
        <f t="shared" ref="K15:K16" si="2">HYPERLINK("http://twitter.com/download/android","Twitter for Android")</f>
        <v>Twitter for Android</v>
      </c>
      <c r="L15" s="13">
        <v>770</v>
      </c>
      <c r="M15" s="13">
        <v>1506</v>
      </c>
      <c r="N15" s="13">
        <v>11</v>
      </c>
      <c r="O15" s="15"/>
      <c r="P15" s="6">
        <v>41046.012673611112</v>
      </c>
      <c r="Q15" s="16" t="s">
        <v>109</v>
      </c>
      <c r="R15" s="17" t="s">
        <v>110</v>
      </c>
      <c r="S15" s="12"/>
      <c r="T15" s="12"/>
      <c r="U15" s="10" t="str">
        <f>HYPERLINK("https://pbs.twimg.com/profile_images/1021884495421681665/gA73snOs.jpg","View")</f>
        <v>View</v>
      </c>
    </row>
    <row r="16" spans="1:21" ht="30.6">
      <c r="A16" s="6">
        <v>43427.656284722223</v>
      </c>
      <c r="B16" s="7" t="str">
        <f>HYPERLINK("https://twitter.com/Josegonsan","@Josegonsan")</f>
        <v>@Josegonsan</v>
      </c>
      <c r="C16" s="8" t="s">
        <v>112</v>
      </c>
      <c r="D16" s="9" t="s">
        <v>113</v>
      </c>
      <c r="E16" s="10" t="str">
        <f>HYPERLINK("https://twitter.com/Josegonsan/status/1065979547227693056","1065979547227693056")</f>
        <v>1065979547227693056</v>
      </c>
      <c r="F16" s="12"/>
      <c r="G16" s="12"/>
      <c r="H16" s="12"/>
      <c r="I16" s="13">
        <v>0</v>
      </c>
      <c r="J16" s="13">
        <v>0</v>
      </c>
      <c r="K16" s="14" t="str">
        <f t="shared" si="2"/>
        <v>Twitter for Android</v>
      </c>
      <c r="L16" s="13">
        <v>23</v>
      </c>
      <c r="M16" s="13">
        <v>117</v>
      </c>
      <c r="N16" s="13">
        <v>0</v>
      </c>
      <c r="O16" s="15"/>
      <c r="P16" s="6">
        <v>42171.603854166664</v>
      </c>
      <c r="Q16" s="16" t="s">
        <v>116</v>
      </c>
      <c r="R16" s="19"/>
      <c r="S16" s="12"/>
      <c r="T16" s="12"/>
      <c r="U16" s="10" t="str">
        <f>HYPERLINK("https://pbs.twimg.com/profile_images/613410644201721857/9uDgGBog.jpg","View")</f>
        <v>View</v>
      </c>
    </row>
    <row r="17" spans="1:21" ht="51">
      <c r="A17" s="6">
        <v>43427.654768518521</v>
      </c>
      <c r="B17" s="7" t="str">
        <f>HYPERLINK("https://twitter.com/Noticias24horas","@Noticias24horas")</f>
        <v>@Noticias24horas</v>
      </c>
      <c r="C17" s="8" t="s">
        <v>120</v>
      </c>
      <c r="D17" s="9" t="s">
        <v>121</v>
      </c>
      <c r="E17" s="10" t="str">
        <f>HYPERLINK("https://twitter.com/Noticias24horas/status/1065978998705045505","1065978998705045505")</f>
        <v>1065978998705045505</v>
      </c>
      <c r="F17" s="11" t="s">
        <v>122</v>
      </c>
      <c r="G17" s="12"/>
      <c r="H17" s="12"/>
      <c r="I17" s="13">
        <v>0</v>
      </c>
      <c r="J17" s="13">
        <v>0</v>
      </c>
      <c r="K17" s="14" t="str">
        <f>HYPERLINK("http://twitter.com","Twitter Web Client")</f>
        <v>Twitter Web Client</v>
      </c>
      <c r="L17" s="13">
        <v>47981</v>
      </c>
      <c r="M17" s="13">
        <v>14451</v>
      </c>
      <c r="N17" s="13">
        <v>623</v>
      </c>
      <c r="O17" s="15"/>
      <c r="P17" s="6">
        <v>39799.161666666667</v>
      </c>
      <c r="Q17" s="16" t="s">
        <v>125</v>
      </c>
      <c r="R17" s="17" t="s">
        <v>127</v>
      </c>
      <c r="S17" s="11" t="s">
        <v>128</v>
      </c>
      <c r="T17" s="12"/>
      <c r="U17" s="10" t="str">
        <f>HYPERLINK("https://pbs.twimg.com/profile_images/739091131011567616/GfKL7dJ1.jpg","View")</f>
        <v>View</v>
      </c>
    </row>
    <row r="18" spans="1:21" ht="30.6">
      <c r="A18" s="6">
        <v>43427.654687499999</v>
      </c>
      <c r="B18" s="7" t="str">
        <f>HYPERLINK("https://twitter.com/LoXabvi","@LoXabvi")</f>
        <v>@LoXabvi</v>
      </c>
      <c r="C18" s="8" t="s">
        <v>130</v>
      </c>
      <c r="D18" s="9" t="s">
        <v>131</v>
      </c>
      <c r="E18" s="10" t="str">
        <f>HYPERLINK("https://twitter.com/LoXabvi/status/1065978969533677568","1065978969533677568")</f>
        <v>1065978969533677568</v>
      </c>
      <c r="F18" s="12"/>
      <c r="G18" s="11" t="s">
        <v>135</v>
      </c>
      <c r="H18" s="12"/>
      <c r="I18" s="13">
        <v>0</v>
      </c>
      <c r="J18" s="13">
        <v>1</v>
      </c>
      <c r="K18" s="14" t="str">
        <f>HYPERLINK("http://twitter.com/download/iphone","Twitter for iPhone")</f>
        <v>Twitter for iPhone</v>
      </c>
      <c r="L18" s="13">
        <v>7733</v>
      </c>
      <c r="M18" s="13">
        <v>3504</v>
      </c>
      <c r="N18" s="13">
        <v>102</v>
      </c>
      <c r="O18" s="15"/>
      <c r="P18" s="6">
        <v>40431.530486111107</v>
      </c>
      <c r="Q18" s="16" t="s">
        <v>136</v>
      </c>
      <c r="R18" s="17" t="s">
        <v>137</v>
      </c>
      <c r="S18" s="12"/>
      <c r="T18" s="12"/>
      <c r="U18" s="10" t="str">
        <f>HYPERLINK("https://pbs.twimg.com/profile_images/1050615703915491330/IbZTdqZG.jpg","View")</f>
        <v>View</v>
      </c>
    </row>
    <row r="19" spans="1:21" ht="30.6">
      <c r="A19" s="6">
        <v>43427.654305555552</v>
      </c>
      <c r="B19" s="7" t="str">
        <f>HYPERLINK("https://twitter.com/AlQueCla","@AlQueCla")</f>
        <v>@AlQueCla</v>
      </c>
      <c r="C19" s="8" t="s">
        <v>96</v>
      </c>
      <c r="D19" s="9" t="s">
        <v>97</v>
      </c>
      <c r="E19" s="10" t="str">
        <f>HYPERLINK("https://twitter.com/AlQueCla/status/1065978828915425285","1065978828915425285")</f>
        <v>1065978828915425285</v>
      </c>
      <c r="F19" s="12"/>
      <c r="G19" s="12"/>
      <c r="H19" s="12"/>
      <c r="I19" s="13">
        <v>0</v>
      </c>
      <c r="J19" s="13">
        <v>0</v>
      </c>
      <c r="K19" s="14" t="str">
        <f>HYPERLINK("http://twitter.com/download/android","Twitter for Android")</f>
        <v>Twitter for Android</v>
      </c>
      <c r="L19" s="13">
        <v>104</v>
      </c>
      <c r="M19" s="13">
        <v>450</v>
      </c>
      <c r="N19" s="13">
        <v>0</v>
      </c>
      <c r="O19" s="15"/>
      <c r="P19" s="6">
        <v>43374.553344907406</v>
      </c>
      <c r="Q19" s="16" t="s">
        <v>98</v>
      </c>
      <c r="R19" s="17" t="s">
        <v>99</v>
      </c>
      <c r="S19" s="12"/>
      <c r="T19" s="12"/>
      <c r="U19" s="10" t="str">
        <f>HYPERLINK("https://pbs.twimg.com/profile_images/1046750376215678976/DRZJ22bi.jpg","View")</f>
        <v>View</v>
      </c>
    </row>
    <row r="20" spans="1:21" ht="51">
      <c r="A20" s="6">
        <v>43427.654050925921</v>
      </c>
      <c r="B20" s="7" t="str">
        <f>HYPERLINK("https://twitter.com/eldivandeJules","@eldivandeJules")</f>
        <v>@eldivandeJules</v>
      </c>
      <c r="C20" s="8" t="s">
        <v>150</v>
      </c>
      <c r="D20" s="9" t="s">
        <v>151</v>
      </c>
      <c r="E20" s="10" t="str">
        <f>HYPERLINK("https://twitter.com/eldivandeJules/status/1065978739018924032","1065978739018924032")</f>
        <v>1065978739018924032</v>
      </c>
      <c r="F20" s="12"/>
      <c r="G20" s="11" t="s">
        <v>154</v>
      </c>
      <c r="H20" s="12"/>
      <c r="I20" s="13">
        <v>12</v>
      </c>
      <c r="J20" s="13">
        <v>15</v>
      </c>
      <c r="K20" s="14" t="str">
        <f t="shared" ref="K20:K22" si="3">HYPERLINK("http://twitter.com","Twitter Web Client")</f>
        <v>Twitter Web Client</v>
      </c>
      <c r="L20" s="13">
        <v>16297</v>
      </c>
      <c r="M20" s="13">
        <v>3798</v>
      </c>
      <c r="N20" s="13">
        <v>58</v>
      </c>
      <c r="O20" s="15"/>
      <c r="P20" s="6">
        <v>43222.10832175926</v>
      </c>
      <c r="Q20" s="12"/>
      <c r="R20" s="17" t="s">
        <v>158</v>
      </c>
      <c r="S20" s="12"/>
      <c r="T20" s="12"/>
      <c r="U20" s="10" t="str">
        <f>HYPERLINK("https://pbs.twimg.com/profile_images/991478533389209601/fIbyIduf.jpg","View")</f>
        <v>View</v>
      </c>
    </row>
    <row r="21" spans="1:21" ht="40.799999999999997">
      <c r="A21" s="6">
        <v>43427.653645833328</v>
      </c>
      <c r="B21" s="7" t="str">
        <f>HYPERLINK("https://twitter.com/Noticias24horas","@Noticias24horas")</f>
        <v>@Noticias24horas</v>
      </c>
      <c r="C21" s="8" t="s">
        <v>120</v>
      </c>
      <c r="D21" s="9" t="s">
        <v>160</v>
      </c>
      <c r="E21" s="10" t="str">
        <f>HYPERLINK("https://twitter.com/Noticias24horas/status/1065978589974355968","1065978589974355968")</f>
        <v>1065978589974355968</v>
      </c>
      <c r="F21" s="11" t="s">
        <v>122</v>
      </c>
      <c r="G21" s="12"/>
      <c r="H21" s="12"/>
      <c r="I21" s="13">
        <v>0</v>
      </c>
      <c r="J21" s="13">
        <v>0</v>
      </c>
      <c r="K21" s="14" t="str">
        <f t="shared" si="3"/>
        <v>Twitter Web Client</v>
      </c>
      <c r="L21" s="13">
        <v>47981</v>
      </c>
      <c r="M21" s="13">
        <v>14451</v>
      </c>
      <c r="N21" s="13">
        <v>623</v>
      </c>
      <c r="O21" s="15"/>
      <c r="P21" s="6">
        <v>39799.161666666667</v>
      </c>
      <c r="Q21" s="16" t="s">
        <v>125</v>
      </c>
      <c r="R21" s="17" t="s">
        <v>127</v>
      </c>
      <c r="S21" s="11" t="s">
        <v>128</v>
      </c>
      <c r="T21" s="12"/>
      <c r="U21" s="10" t="str">
        <f>HYPERLINK("https://pbs.twimg.com/profile_images/739091131011567616/GfKL7dJ1.jpg","View")</f>
        <v>View</v>
      </c>
    </row>
    <row r="22" spans="1:21" ht="51">
      <c r="A22" s="6">
        <v>43427.652974537035</v>
      </c>
      <c r="B22" s="7" t="str">
        <f>HYPERLINK("https://twitter.com/PeriodicoBasura","@PeriodicoBasura")</f>
        <v>@PeriodicoBasura</v>
      </c>
      <c r="C22" s="8" t="s">
        <v>103</v>
      </c>
      <c r="D22" s="9" t="s">
        <v>104</v>
      </c>
      <c r="E22" s="10" t="str">
        <f>HYPERLINK("https://twitter.com/PeriodicoBasura/status/1065978346260058112","1065978346260058112")</f>
        <v>1065978346260058112</v>
      </c>
      <c r="F22" s="16" t="s">
        <v>107</v>
      </c>
      <c r="G22" s="11" t="s">
        <v>108</v>
      </c>
      <c r="H22" s="12"/>
      <c r="I22" s="13">
        <v>0</v>
      </c>
      <c r="J22" s="13">
        <v>0</v>
      </c>
      <c r="K22" s="14" t="str">
        <f t="shared" si="3"/>
        <v>Twitter Web Client</v>
      </c>
      <c r="L22" s="13">
        <v>199</v>
      </c>
      <c r="M22" s="13">
        <v>704</v>
      </c>
      <c r="N22" s="13">
        <v>2</v>
      </c>
      <c r="O22" s="15"/>
      <c r="P22" s="6">
        <v>42250.794456018513</v>
      </c>
      <c r="Q22" s="12"/>
      <c r="R22" s="17" t="s">
        <v>111</v>
      </c>
      <c r="S22" s="12"/>
      <c r="T22" s="12"/>
      <c r="U22" s="10" t="str">
        <f>HYPERLINK("https://pbs.twimg.com/profile_images/871318774124883968/mqY5aPWP.jpg","View")</f>
        <v>View</v>
      </c>
    </row>
    <row r="23" spans="1:21" ht="20.399999999999999">
      <c r="A23" s="6">
        <v>43427.650995370372</v>
      </c>
      <c r="B23" s="7" t="str">
        <f>HYPERLINK("https://twitter.com/negativo_stats","@negativo_stats")</f>
        <v>@negativo_stats</v>
      </c>
      <c r="C23" s="8" t="s">
        <v>114</v>
      </c>
      <c r="D23" s="9" t="s">
        <v>115</v>
      </c>
      <c r="E23" s="10" t="str">
        <f>HYPERLINK("https://twitter.com/negativo_stats/status/1065977629487112197","1065977629487112197")</f>
        <v>1065977629487112197</v>
      </c>
      <c r="F23" s="12"/>
      <c r="G23" s="11" t="s">
        <v>117</v>
      </c>
      <c r="H23" s="12"/>
      <c r="I23" s="13">
        <v>0</v>
      </c>
      <c r="J23" s="13">
        <v>0</v>
      </c>
      <c r="K23" s="14" t="str">
        <f>HYPERLINK("http://kosmonautica.es","Política Negativa")</f>
        <v>Política Negativa</v>
      </c>
      <c r="L23" s="13">
        <v>256</v>
      </c>
      <c r="M23" s="13">
        <v>694</v>
      </c>
      <c r="N23" s="13">
        <v>2</v>
      </c>
      <c r="O23" s="15"/>
      <c r="P23" s="6">
        <v>42171.770601851851</v>
      </c>
      <c r="Q23" s="16" t="s">
        <v>118</v>
      </c>
      <c r="R23" s="17" t="s">
        <v>119</v>
      </c>
      <c r="S23" s="12"/>
      <c r="T23" s="12"/>
      <c r="U23" s="10" t="str">
        <f>HYPERLINK("https://pbs.twimg.com/profile_images/628553625984438272/e-VHyhP1.png","View")</f>
        <v>View</v>
      </c>
    </row>
    <row r="24" spans="1:21" ht="61.2">
      <c r="A24" s="6">
        <v>43427.649108796293</v>
      </c>
      <c r="B24" s="7" t="str">
        <f>HYPERLINK("https://twitter.com/josepastranote","@josepastranote")</f>
        <v>@josepastranote</v>
      </c>
      <c r="C24" s="8" t="s">
        <v>123</v>
      </c>
      <c r="D24" s="9" t="s">
        <v>124</v>
      </c>
      <c r="E24" s="10" t="str">
        <f>HYPERLINK("https://twitter.com/josepastranote/status/1065976944381046785","1065976944381046785")</f>
        <v>1065976944381046785</v>
      </c>
      <c r="F24" s="12"/>
      <c r="G24" s="11" t="s">
        <v>126</v>
      </c>
      <c r="H24" s="12"/>
      <c r="I24" s="13">
        <v>0</v>
      </c>
      <c r="J24" s="13">
        <v>0</v>
      </c>
      <c r="K24" s="14" t="str">
        <f>HYPERLINK("http://twitter.com/download/android","Twitter for Android")</f>
        <v>Twitter for Android</v>
      </c>
      <c r="L24" s="13">
        <v>145</v>
      </c>
      <c r="M24" s="13">
        <v>294</v>
      </c>
      <c r="N24" s="13">
        <v>1</v>
      </c>
      <c r="O24" s="15"/>
      <c r="P24" s="6">
        <v>40636.529606481483</v>
      </c>
      <c r="Q24" s="12"/>
      <c r="R24" s="17" t="s">
        <v>129</v>
      </c>
      <c r="S24" s="12"/>
      <c r="T24" s="12"/>
      <c r="U24" s="10" t="str">
        <f>HYPERLINK("https://pbs.twimg.com/profile_images/1051441796902002690/f1A7-S5t.jpg","View")</f>
        <v>View</v>
      </c>
    </row>
    <row r="25" spans="1:21" ht="40.799999999999997">
      <c r="A25" s="6">
        <v>43427.643958333334</v>
      </c>
      <c r="B25" s="7" t="str">
        <f>HYPERLINK("https://twitter.com/YoHereAgain","@YoHereAgain")</f>
        <v>@YoHereAgain</v>
      </c>
      <c r="C25" s="8" t="s">
        <v>132</v>
      </c>
      <c r="D25" s="9" t="s">
        <v>133</v>
      </c>
      <c r="E25" s="10" t="str">
        <f>HYPERLINK("https://twitter.com/YoHereAgain/status/1065975081619415048","1065975081619415048")</f>
        <v>1065975081619415048</v>
      </c>
      <c r="F25" s="12"/>
      <c r="G25" s="11" t="s">
        <v>134</v>
      </c>
      <c r="H25" s="12"/>
      <c r="I25" s="13">
        <v>0</v>
      </c>
      <c r="J25" s="13">
        <v>2</v>
      </c>
      <c r="K25" s="14" t="str">
        <f t="shared" ref="K25:K26" si="4">HYPERLINK("http://twitter.com/download/iphone","Twitter for iPhone")</f>
        <v>Twitter for iPhone</v>
      </c>
      <c r="L25" s="13">
        <v>249</v>
      </c>
      <c r="M25" s="13">
        <v>334</v>
      </c>
      <c r="N25" s="13">
        <v>4</v>
      </c>
      <c r="O25" s="15"/>
      <c r="P25" s="6">
        <v>40614.488668981481</v>
      </c>
      <c r="Q25" s="16" t="s">
        <v>138</v>
      </c>
      <c r="R25" s="17" t="s">
        <v>139</v>
      </c>
      <c r="S25" s="12"/>
      <c r="T25" s="12"/>
      <c r="U25" s="10" t="str">
        <f>HYPERLINK("https://pbs.twimg.com/profile_images/634683372430880768/kK2z3T6N.jpg","View")</f>
        <v>View</v>
      </c>
    </row>
    <row r="26" spans="1:21" ht="30.6">
      <c r="A26" s="6">
        <v>43427.640729166669</v>
      </c>
      <c r="B26" s="7" t="str">
        <f>HYPERLINK("https://twitter.com/edp","@edp")</f>
        <v>@edp</v>
      </c>
      <c r="C26" s="8" t="s">
        <v>140</v>
      </c>
      <c r="D26" s="9" t="s">
        <v>141</v>
      </c>
      <c r="E26" s="10" t="str">
        <f>HYPERLINK("https://twitter.com/edp/status/1065973908464156672","1065973908464156672")</f>
        <v>1065973908464156672</v>
      </c>
      <c r="F26" s="12"/>
      <c r="G26" s="12"/>
      <c r="H26" s="12"/>
      <c r="I26" s="13">
        <v>2</v>
      </c>
      <c r="J26" s="13">
        <v>1</v>
      </c>
      <c r="K26" s="14" t="str">
        <f t="shared" si="4"/>
        <v>Twitter for iPhone</v>
      </c>
      <c r="L26" s="13">
        <v>5613</v>
      </c>
      <c r="M26" s="13">
        <v>4117</v>
      </c>
      <c r="N26" s="13">
        <v>29</v>
      </c>
      <c r="O26" s="15"/>
      <c r="P26" s="6">
        <v>39289.674039351856</v>
      </c>
      <c r="Q26" s="16" t="s">
        <v>145</v>
      </c>
      <c r="R26" s="17" t="s">
        <v>146</v>
      </c>
      <c r="S26" s="11" t="s">
        <v>147</v>
      </c>
      <c r="T26" s="12"/>
      <c r="U26" s="10" t="str">
        <f>HYPERLINK("https://pbs.twimg.com/profile_images/922061033530896385/ykySPqpK.jpg","View")</f>
        <v>View</v>
      </c>
    </row>
    <row r="27" spans="1:21" ht="91.8">
      <c r="A27" s="6">
        <v>43427.639849537038</v>
      </c>
      <c r="B27" s="7" t="str">
        <f>HYPERLINK("https://twitter.com/AngelParraLorca","@AngelParraLorca")</f>
        <v>@AngelParraLorca</v>
      </c>
      <c r="C27" s="8" t="s">
        <v>152</v>
      </c>
      <c r="D27" s="9" t="s">
        <v>153</v>
      </c>
      <c r="E27" s="10" t="str">
        <f>HYPERLINK("https://twitter.com/AngelParraLorca/status/1065973589596344320","1065973589596344320")</f>
        <v>1065973589596344320</v>
      </c>
      <c r="F27" s="11" t="s">
        <v>155</v>
      </c>
      <c r="G27" s="11" t="s">
        <v>156</v>
      </c>
      <c r="H27" s="12"/>
      <c r="I27" s="13">
        <v>2</v>
      </c>
      <c r="J27" s="13">
        <v>3</v>
      </c>
      <c r="K27" s="14" t="str">
        <f t="shared" ref="K27:K30" si="5">HYPERLINK("http://twitter.com/download/android","Twitter for Android")</f>
        <v>Twitter for Android</v>
      </c>
      <c r="L27" s="13">
        <v>119</v>
      </c>
      <c r="M27" s="13">
        <v>167</v>
      </c>
      <c r="N27" s="13">
        <v>0</v>
      </c>
      <c r="O27" s="15"/>
      <c r="P27" s="6">
        <v>42166.395798611113</v>
      </c>
      <c r="Q27" s="12"/>
      <c r="R27" s="19"/>
      <c r="S27" s="12"/>
      <c r="T27" s="12"/>
      <c r="U27" s="10" t="str">
        <f>HYPERLINK("https://pbs.twimg.com/profile_images/1043121811549024257/DC08-Vvk.jpg","View")</f>
        <v>View</v>
      </c>
    </row>
    <row r="28" spans="1:21" ht="51">
      <c r="A28" s="6">
        <v>43427.639340277776</v>
      </c>
      <c r="B28" s="7" t="str">
        <f>HYPERLINK("https://twitter.com/jakely63","@jakely63")</f>
        <v>@jakely63</v>
      </c>
      <c r="C28" s="8" t="s">
        <v>194</v>
      </c>
      <c r="D28" s="9" t="s">
        <v>195</v>
      </c>
      <c r="E28" s="10" t="str">
        <f>HYPERLINK("https://twitter.com/jakely63/status/1065973407785934848","1065973407785934848")</f>
        <v>1065973407785934848</v>
      </c>
      <c r="F28" s="11" t="s">
        <v>199</v>
      </c>
      <c r="G28" s="11" t="s">
        <v>200</v>
      </c>
      <c r="H28" s="12"/>
      <c r="I28" s="13">
        <v>0</v>
      </c>
      <c r="J28" s="13">
        <v>0</v>
      </c>
      <c r="K28" s="14" t="str">
        <f t="shared" si="5"/>
        <v>Twitter for Android</v>
      </c>
      <c r="L28" s="13">
        <v>2014</v>
      </c>
      <c r="M28" s="13">
        <v>2485</v>
      </c>
      <c r="N28" s="13">
        <v>28</v>
      </c>
      <c r="O28" s="15"/>
      <c r="P28" s="6">
        <v>40846.883090277777</v>
      </c>
      <c r="Q28" s="16" t="s">
        <v>201</v>
      </c>
      <c r="R28" s="19"/>
      <c r="S28" s="12"/>
      <c r="T28" s="12"/>
      <c r="U28" s="10" t="str">
        <f>HYPERLINK("https://pbs.twimg.com/profile_images/1014943468874076160/6kd2Alia.jpg","View")</f>
        <v>View</v>
      </c>
    </row>
    <row r="29" spans="1:21" ht="61.2">
      <c r="A29" s="6">
        <v>43427.638842592598</v>
      </c>
      <c r="B29" s="7" t="str">
        <f>HYPERLINK("https://twitter.com/Garcia2Felix","@Garcia2Felix")</f>
        <v>@Garcia2Felix</v>
      </c>
      <c r="C29" s="8" t="s">
        <v>161</v>
      </c>
      <c r="D29" s="9" t="s">
        <v>162</v>
      </c>
      <c r="E29" s="10" t="str">
        <f>HYPERLINK("https://twitter.com/Garcia2Felix/status/1065973224750628865","1065973224750628865")</f>
        <v>1065973224750628865</v>
      </c>
      <c r="F29" s="16" t="s">
        <v>163</v>
      </c>
      <c r="G29" s="12"/>
      <c r="H29" s="12"/>
      <c r="I29" s="13">
        <v>0</v>
      </c>
      <c r="J29" s="13">
        <v>0</v>
      </c>
      <c r="K29" s="14" t="str">
        <f t="shared" si="5"/>
        <v>Twitter for Android</v>
      </c>
      <c r="L29" s="13">
        <v>1622</v>
      </c>
      <c r="M29" s="13">
        <v>833</v>
      </c>
      <c r="N29" s="13">
        <v>26</v>
      </c>
      <c r="O29" s="15"/>
      <c r="P29" s="6">
        <v>40315.684872685189</v>
      </c>
      <c r="Q29" s="16" t="s">
        <v>164</v>
      </c>
      <c r="R29" s="17" t="s">
        <v>165</v>
      </c>
      <c r="S29" s="11" t="s">
        <v>166</v>
      </c>
      <c r="T29" s="12"/>
      <c r="U29" s="10" t="str">
        <f>HYPERLINK("https://pbs.twimg.com/profile_images/1042037832976617473/Y8R8eK4z.jpg","View")</f>
        <v>View</v>
      </c>
    </row>
    <row r="30" spans="1:21" ht="51">
      <c r="A30" s="6">
        <v>43427.638217592597</v>
      </c>
      <c r="B30" s="7" t="str">
        <f>HYPERLINK("https://twitter.com/RudoManila","@RudoManila")</f>
        <v>@RudoManila</v>
      </c>
      <c r="C30" s="8" t="s">
        <v>210</v>
      </c>
      <c r="D30" s="9" t="s">
        <v>211</v>
      </c>
      <c r="E30" s="10" t="str">
        <f>HYPERLINK("https://twitter.com/RudoManila/status/1065972998144970753","1065972998144970753")</f>
        <v>1065972998144970753</v>
      </c>
      <c r="F30" s="12"/>
      <c r="G30" s="12"/>
      <c r="H30" s="12"/>
      <c r="I30" s="13">
        <v>0</v>
      </c>
      <c r="J30" s="13">
        <v>0</v>
      </c>
      <c r="K30" s="14" t="str">
        <f t="shared" si="5"/>
        <v>Twitter for Android</v>
      </c>
      <c r="L30" s="13">
        <v>3</v>
      </c>
      <c r="M30" s="13">
        <v>5</v>
      </c>
      <c r="N30" s="13">
        <v>0</v>
      </c>
      <c r="O30" s="15"/>
      <c r="P30" s="6">
        <v>42984.633842592593</v>
      </c>
      <c r="Q30" s="12"/>
      <c r="R30" s="17" t="s">
        <v>216</v>
      </c>
      <c r="S30" s="12"/>
      <c r="T30" s="12"/>
      <c r="U30" s="10" t="str">
        <f>HYPERLINK("https://pbs.twimg.com/profile_images/905433027983048704/bPBGbnLh.jpg","View")</f>
        <v>View</v>
      </c>
    </row>
    <row r="31" spans="1:21" ht="30.6">
      <c r="A31" s="6">
        <v>43427.63680555555</v>
      </c>
      <c r="B31" s="7" t="str">
        <f>HYPERLINK("https://twitter.com/cap_mancha","@cap_mancha")</f>
        <v>@cap_mancha</v>
      </c>
      <c r="C31" s="8" t="s">
        <v>219</v>
      </c>
      <c r="D31" s="9" t="s">
        <v>220</v>
      </c>
      <c r="E31" s="10" t="str">
        <f>HYPERLINK("https://twitter.com/cap_mancha/status/1065972486137888773","1065972486137888773")</f>
        <v>1065972486137888773</v>
      </c>
      <c r="F31" s="12"/>
      <c r="G31" s="12"/>
      <c r="H31" s="12"/>
      <c r="I31" s="13">
        <v>0</v>
      </c>
      <c r="J31" s="13">
        <v>0</v>
      </c>
      <c r="K31" s="14" t="str">
        <f>HYPERLINK("http://twitter.com/download/iphone","Twitter for iPhone")</f>
        <v>Twitter for iPhone</v>
      </c>
      <c r="L31" s="13">
        <v>31</v>
      </c>
      <c r="M31" s="13">
        <v>199</v>
      </c>
      <c r="N31" s="13">
        <v>0</v>
      </c>
      <c r="O31" s="15"/>
      <c r="P31" s="6">
        <v>42981.8284837963</v>
      </c>
      <c r="Q31" s="12"/>
      <c r="R31" s="17" t="s">
        <v>224</v>
      </c>
      <c r="S31" s="12"/>
      <c r="T31" s="12"/>
      <c r="U31" s="10" t="str">
        <f>HYPERLINK("https://pbs.twimg.com/profile_images/904410147509878784/WT1YIptv.jpg","View")</f>
        <v>View</v>
      </c>
    </row>
    <row r="32" spans="1:21" ht="20.399999999999999">
      <c r="A32" s="6">
        <v>43427.63318287037</v>
      </c>
      <c r="B32" s="7" t="str">
        <f>HYPERLINK("https://twitter.com/elultimotuit1","@elultimotuit1")</f>
        <v>@elultimotuit1</v>
      </c>
      <c r="C32" s="8" t="s">
        <v>226</v>
      </c>
      <c r="D32" s="9" t="s">
        <v>227</v>
      </c>
      <c r="E32" s="10" t="str">
        <f>HYPERLINK("https://twitter.com/elultimotuit1/status/1065971173392039937","1065971173392039937")</f>
        <v>1065971173392039937</v>
      </c>
      <c r="F32" s="12"/>
      <c r="G32" s="11" t="s">
        <v>229</v>
      </c>
      <c r="H32" s="12"/>
      <c r="I32" s="13">
        <v>2</v>
      </c>
      <c r="J32" s="13">
        <v>3</v>
      </c>
      <c r="K32" s="14" t="str">
        <f>HYPERLINK("http://twitter.com/download/android","Twitter for Android")</f>
        <v>Twitter for Android</v>
      </c>
      <c r="L32" s="13">
        <v>184</v>
      </c>
      <c r="M32" s="13">
        <v>93</v>
      </c>
      <c r="N32" s="13">
        <v>5</v>
      </c>
      <c r="O32" s="15"/>
      <c r="P32" s="6">
        <v>42505.237673611111</v>
      </c>
      <c r="Q32" s="12"/>
      <c r="R32" s="17" t="s">
        <v>231</v>
      </c>
      <c r="S32" s="12"/>
      <c r="T32" s="12"/>
      <c r="U32" s="10" t="str">
        <f>HYPERLINK("https://pbs.twimg.com/profile_images/925902493036482561/9ottrmWh.jpg","View")</f>
        <v>View</v>
      </c>
    </row>
    <row r="33" spans="1:21" ht="40.799999999999997">
      <c r="A33" s="6">
        <v>43427.628449074073</v>
      </c>
      <c r="B33" s="7" t="str">
        <f>HYPERLINK("https://twitter.com/La_Cerca","@La_Cerca")</f>
        <v>@La_Cerca</v>
      </c>
      <c r="C33" s="8" t="s">
        <v>167</v>
      </c>
      <c r="D33" s="9" t="s">
        <v>168</v>
      </c>
      <c r="E33" s="10" t="str">
        <f>HYPERLINK("https://twitter.com/La_Cerca/status/1065969458068504576","1065969458068504576")</f>
        <v>1065969458068504576</v>
      </c>
      <c r="F33" s="11" t="s">
        <v>169</v>
      </c>
      <c r="G33" s="12"/>
      <c r="H33" s="12"/>
      <c r="I33" s="13">
        <v>0</v>
      </c>
      <c r="J33" s="13">
        <v>0</v>
      </c>
      <c r="K33" s="14" t="str">
        <f>HYPERLINK("http://www.lacerca.com","La Cerca")</f>
        <v>La Cerca</v>
      </c>
      <c r="L33" s="13">
        <v>18963</v>
      </c>
      <c r="M33" s="13">
        <v>4967</v>
      </c>
      <c r="N33" s="13">
        <v>336</v>
      </c>
      <c r="O33" s="18" t="s">
        <v>36</v>
      </c>
      <c r="P33" s="6">
        <v>40007.429652777777</v>
      </c>
      <c r="Q33" s="16" t="s">
        <v>171</v>
      </c>
      <c r="R33" s="17" t="s">
        <v>172</v>
      </c>
      <c r="S33" s="11" t="s">
        <v>173</v>
      </c>
      <c r="T33" s="12"/>
      <c r="U33" s="10" t="str">
        <f>HYPERLINK("https://pbs.twimg.com/profile_images/1046758213843111937/MFsiNfy0.jpg","View")</f>
        <v>View</v>
      </c>
    </row>
    <row r="34" spans="1:21" ht="61.2">
      <c r="A34" s="6">
        <v>43427.628298611111</v>
      </c>
      <c r="B34" s="7" t="str">
        <f>HYPERLINK("https://twitter.com/msocial_esp","@msocial_esp")</f>
        <v>@msocial_esp</v>
      </c>
      <c r="C34" s="8" t="s">
        <v>174</v>
      </c>
      <c r="D34" s="9" t="s">
        <v>175</v>
      </c>
      <c r="E34" s="10" t="str">
        <f>HYPERLINK("https://twitter.com/msocial_esp/status/1065969406394753024","1065969406394753024")</f>
        <v>1065969406394753024</v>
      </c>
      <c r="F34" s="16" t="s">
        <v>176</v>
      </c>
      <c r="G34" s="12"/>
      <c r="H34" s="12"/>
      <c r="I34" s="13">
        <v>0</v>
      </c>
      <c r="J34" s="13">
        <v>0</v>
      </c>
      <c r="K34" s="14" t="str">
        <f t="shared" ref="K34:K35" si="6">HYPERLINK("http://twitter.com/download/android","Twitter for Android")</f>
        <v>Twitter for Android</v>
      </c>
      <c r="L34" s="13">
        <v>288</v>
      </c>
      <c r="M34" s="13">
        <v>658</v>
      </c>
      <c r="N34" s="13">
        <v>5</v>
      </c>
      <c r="O34" s="15"/>
      <c r="P34" s="6">
        <v>41156.037418981483</v>
      </c>
      <c r="Q34" s="12"/>
      <c r="R34" s="17" t="s">
        <v>177</v>
      </c>
      <c r="S34" s="11" t="s">
        <v>178</v>
      </c>
      <c r="T34" s="12"/>
      <c r="U34" s="10" t="str">
        <f>HYPERLINK("https://pbs.twimg.com/profile_images/2575843898/mlfg2522j08948lle80q.jpeg","View")</f>
        <v>View</v>
      </c>
    </row>
    <row r="35" spans="1:21" ht="61.2">
      <c r="A35" s="6">
        <v>43427.624293981484</v>
      </c>
      <c r="B35" s="7" t="str">
        <f>HYPERLINK("https://twitter.com/Toni_Clares","@Toni_Clares")</f>
        <v>@Toni_Clares</v>
      </c>
      <c r="C35" s="8" t="s">
        <v>179</v>
      </c>
      <c r="D35" s="9" t="s">
        <v>180</v>
      </c>
      <c r="E35" s="10" t="str">
        <f>HYPERLINK("https://twitter.com/Toni_Clares/status/1065967951625576448","1065967951625576448")</f>
        <v>1065967951625576448</v>
      </c>
      <c r="F35" s="12"/>
      <c r="G35" s="12"/>
      <c r="H35" s="12"/>
      <c r="I35" s="13">
        <v>1</v>
      </c>
      <c r="J35" s="13">
        <v>1</v>
      </c>
      <c r="K35" s="14" t="str">
        <f t="shared" si="6"/>
        <v>Twitter for Android</v>
      </c>
      <c r="L35" s="13">
        <v>1516</v>
      </c>
      <c r="M35" s="13">
        <v>1198</v>
      </c>
      <c r="N35" s="13">
        <v>55</v>
      </c>
      <c r="O35" s="15"/>
      <c r="P35" s="6">
        <v>40024.809074074074</v>
      </c>
      <c r="Q35" s="16" t="s">
        <v>182</v>
      </c>
      <c r="R35" s="17" t="s">
        <v>183</v>
      </c>
      <c r="S35" s="12"/>
      <c r="T35" s="12"/>
      <c r="U35" s="10" t="str">
        <f>HYPERLINK("https://pbs.twimg.com/profile_images/1017895537960521729/DvAk2yJA.jpg","View")</f>
        <v>View</v>
      </c>
    </row>
    <row r="36" spans="1:21" ht="102">
      <c r="A36" s="6">
        <v>43427.618969907402</v>
      </c>
      <c r="B36" s="7" t="str">
        <f>HYPERLINK("https://twitter.com/obrera_o","@obrera_o")</f>
        <v>@obrera_o</v>
      </c>
      <c r="C36" s="8" t="s">
        <v>184</v>
      </c>
      <c r="D36" s="9" t="s">
        <v>185</v>
      </c>
      <c r="E36" s="10" t="str">
        <f>HYPERLINK("https://twitter.com/obrera_o/status/1065966024040828928","1065966024040828928")</f>
        <v>1065966024040828928</v>
      </c>
      <c r="F36" s="11" t="s">
        <v>46</v>
      </c>
      <c r="G36" s="11" t="s">
        <v>47</v>
      </c>
      <c r="H36" s="12"/>
      <c r="I36" s="13">
        <v>0</v>
      </c>
      <c r="J36" s="13">
        <v>0</v>
      </c>
      <c r="K36" s="14" t="str">
        <f>HYPERLINK("http://twitter.com","Twitter Web Client")</f>
        <v>Twitter Web Client</v>
      </c>
      <c r="L36" s="13">
        <v>76</v>
      </c>
      <c r="M36" s="13">
        <v>193</v>
      </c>
      <c r="N36" s="13">
        <v>0</v>
      </c>
      <c r="O36" s="15"/>
      <c r="P36" s="6">
        <v>42115.845439814817</v>
      </c>
      <c r="Q36" s="12"/>
      <c r="R36" s="19"/>
      <c r="S36" s="12"/>
      <c r="T36" s="12"/>
      <c r="U36" s="10" t="str">
        <f>HYPERLINK("https://pbs.twimg.com/profile_images/793583678366646273/e2fsmWzP.jpg","View")</f>
        <v>View</v>
      </c>
    </row>
    <row r="37" spans="1:21" ht="30.6">
      <c r="A37" s="6">
        <v>43427.614618055552</v>
      </c>
      <c r="B37" s="7" t="str">
        <f>HYPERLINK("https://twitter.com/Figarodixit","@Figarodixit")</f>
        <v>@Figarodixit</v>
      </c>
      <c r="C37" s="8" t="s">
        <v>186</v>
      </c>
      <c r="D37" s="9" t="s">
        <v>187</v>
      </c>
      <c r="E37" s="10" t="str">
        <f>HYPERLINK("https://twitter.com/Figarodixit/status/1065964445044809728","1065964445044809728")</f>
        <v>1065964445044809728</v>
      </c>
      <c r="F37" s="11" t="s">
        <v>188</v>
      </c>
      <c r="G37" s="12"/>
      <c r="H37" s="12"/>
      <c r="I37" s="13">
        <v>0</v>
      </c>
      <c r="J37" s="13">
        <v>0</v>
      </c>
      <c r="K37" s="14" t="str">
        <f t="shared" ref="K37:K39" si="7">HYPERLINK("http://twitter.com/download/android","Twitter for Android")</f>
        <v>Twitter for Android</v>
      </c>
      <c r="L37" s="13">
        <v>442</v>
      </c>
      <c r="M37" s="13">
        <v>831</v>
      </c>
      <c r="N37" s="13">
        <v>1</v>
      </c>
      <c r="O37" s="15"/>
      <c r="P37" s="6">
        <v>41299.983310185184</v>
      </c>
      <c r="Q37" s="12"/>
      <c r="R37" s="19"/>
      <c r="S37" s="12"/>
      <c r="T37" s="12"/>
      <c r="U37" s="10" t="str">
        <f>HYPERLINK("https://pbs.twimg.com/profile_images/3171067429/47937b36ca98570eb1f9f6e5ed055255.jpeg","View")</f>
        <v>View</v>
      </c>
    </row>
    <row r="38" spans="1:21" ht="51">
      <c r="A38" s="6">
        <v>43427.610266203701</v>
      </c>
      <c r="B38" s="7" t="str">
        <f>HYPERLINK("https://twitter.com/McGregorPozo","@McGregorPozo")</f>
        <v>@McGregorPozo</v>
      </c>
      <c r="C38" s="8" t="s">
        <v>190</v>
      </c>
      <c r="D38" s="9" t="s">
        <v>191</v>
      </c>
      <c r="E38" s="10" t="str">
        <f>HYPERLINK("https://twitter.com/McGregorPozo/status/1065962869223759872","1065962869223759872")</f>
        <v>1065962869223759872</v>
      </c>
      <c r="F38" s="16" t="s">
        <v>192</v>
      </c>
      <c r="G38" s="12"/>
      <c r="H38" s="12"/>
      <c r="I38" s="13">
        <v>0</v>
      </c>
      <c r="J38" s="13">
        <v>0</v>
      </c>
      <c r="K38" s="14" t="str">
        <f t="shared" si="7"/>
        <v>Twitter for Android</v>
      </c>
      <c r="L38" s="13">
        <v>216</v>
      </c>
      <c r="M38" s="13">
        <v>187</v>
      </c>
      <c r="N38" s="13">
        <v>17</v>
      </c>
      <c r="O38" s="15"/>
      <c r="P38" s="6">
        <v>40528.607233796298</v>
      </c>
      <c r="Q38" s="12"/>
      <c r="R38" s="17" t="s">
        <v>193</v>
      </c>
      <c r="S38" s="12"/>
      <c r="T38" s="12"/>
      <c r="U38" s="10" t="str">
        <f>HYPERLINK("https://pbs.twimg.com/profile_images/932182013443964928/7aZCpfiU.jpg","View")</f>
        <v>View</v>
      </c>
    </row>
    <row r="39" spans="1:21" ht="30.6">
      <c r="A39" s="6">
        <v>43427.609675925924</v>
      </c>
      <c r="B39" s="7" t="str">
        <f>HYPERLINK("https://twitter.com/Roseiame","@Roseiame")</f>
        <v>@Roseiame</v>
      </c>
      <c r="C39" s="8" t="s">
        <v>249</v>
      </c>
      <c r="D39" s="9" t="s">
        <v>250</v>
      </c>
      <c r="E39" s="10" t="str">
        <f>HYPERLINK("https://twitter.com/Roseiame/status/1065962657117888513","1065962657117888513")</f>
        <v>1065962657117888513</v>
      </c>
      <c r="F39" s="12"/>
      <c r="G39" s="12"/>
      <c r="H39" s="12"/>
      <c r="I39" s="13">
        <v>0</v>
      </c>
      <c r="J39" s="13">
        <v>0</v>
      </c>
      <c r="K39" s="14" t="str">
        <f t="shared" si="7"/>
        <v>Twitter for Android</v>
      </c>
      <c r="L39" s="13">
        <v>26</v>
      </c>
      <c r="M39" s="13">
        <v>112</v>
      </c>
      <c r="N39" s="13">
        <v>0</v>
      </c>
      <c r="O39" s="15"/>
      <c r="P39" s="6">
        <v>43229.766458333332</v>
      </c>
      <c r="Q39" s="16" t="s">
        <v>252</v>
      </c>
      <c r="R39" s="17" t="s">
        <v>253</v>
      </c>
      <c r="S39" s="12"/>
      <c r="T39" s="12"/>
      <c r="U39" s="10" t="str">
        <f>HYPERLINK("https://pbs.twimg.com/profile_images/1062104973020987392/sHV8zWQ0.jpg","View")</f>
        <v>View</v>
      </c>
    </row>
    <row r="40" spans="1:21" ht="40.799999999999997">
      <c r="A40" s="6">
        <v>43427.608958333338</v>
      </c>
      <c r="B40" s="7" t="str">
        <f>HYPERLINK("https://twitter.com/CiudadanosCs","@CiudadanosCs")</f>
        <v>@CiudadanosCs</v>
      </c>
      <c r="C40" s="8" t="s">
        <v>196</v>
      </c>
      <c r="D40" s="9" t="s">
        <v>197</v>
      </c>
      <c r="E40" s="10" t="str">
        <f>HYPERLINK("https://twitter.com/CiudadanosCs/status/1065962397981118464","1065962397981118464")</f>
        <v>1065962397981118464</v>
      </c>
      <c r="F40" s="12"/>
      <c r="G40" s="11" t="s">
        <v>198</v>
      </c>
      <c r="H40" s="12"/>
      <c r="I40" s="13">
        <v>26</v>
      </c>
      <c r="J40" s="13">
        <v>30</v>
      </c>
      <c r="K40" s="14" t="str">
        <f>HYPERLINK("https://studio.twitter.com","Media Studio")</f>
        <v>Media Studio</v>
      </c>
      <c r="L40" s="13">
        <v>486503</v>
      </c>
      <c r="M40" s="13">
        <v>93653</v>
      </c>
      <c r="N40" s="13">
        <v>3318</v>
      </c>
      <c r="O40" s="18" t="s">
        <v>36</v>
      </c>
      <c r="P40" s="6">
        <v>39828.753460648149</v>
      </c>
      <c r="Q40" s="16" t="s">
        <v>37</v>
      </c>
      <c r="R40" s="17" t="s">
        <v>202</v>
      </c>
      <c r="S40" s="11" t="s">
        <v>203</v>
      </c>
      <c r="T40" s="12"/>
      <c r="U40" s="10" t="str">
        <f>HYPERLINK("https://pbs.twimg.com/profile_images/1053554096161075200/1z77_zBZ.jpg","View")</f>
        <v>View</v>
      </c>
    </row>
    <row r="41" spans="1:21" ht="51">
      <c r="A41" s="6">
        <v>43427.607615740737</v>
      </c>
      <c r="B41" s="7" t="str">
        <f>HYPERLINK("https://twitter.com/cucamongoide","@cucamongoide")</f>
        <v>@cucamongoide</v>
      </c>
      <c r="C41" s="8" t="s">
        <v>261</v>
      </c>
      <c r="D41" s="9" t="s">
        <v>262</v>
      </c>
      <c r="E41" s="10" t="str">
        <f>HYPERLINK("https://twitter.com/cucamongoide/status/1065961911483801602","1065961911483801602")</f>
        <v>1065961911483801602</v>
      </c>
      <c r="F41" s="12"/>
      <c r="G41" s="12"/>
      <c r="H41" s="12"/>
      <c r="I41" s="13">
        <v>0</v>
      </c>
      <c r="J41" s="13">
        <v>1</v>
      </c>
      <c r="K41" s="14" t="str">
        <f t="shared" ref="K41:K42" si="8">HYPERLINK("http://twitter.com/download/android","Twitter for Android")</f>
        <v>Twitter for Android</v>
      </c>
      <c r="L41" s="13">
        <v>117</v>
      </c>
      <c r="M41" s="13">
        <v>452</v>
      </c>
      <c r="N41" s="13">
        <v>0</v>
      </c>
      <c r="O41" s="15"/>
      <c r="P41" s="6">
        <v>43330.815196759257</v>
      </c>
      <c r="Q41" s="16" t="s">
        <v>266</v>
      </c>
      <c r="R41" s="17" t="s">
        <v>267</v>
      </c>
      <c r="S41" s="12"/>
      <c r="T41" s="12"/>
      <c r="U41" s="10" t="str">
        <f>HYPERLINK("https://pbs.twimg.com/profile_images/1031170097992413185/LsTgbMN-.jpg","View")</f>
        <v>View</v>
      </c>
    </row>
    <row r="42" spans="1:21" ht="40.799999999999997">
      <c r="A42" s="6">
        <v>43427.604050925926</v>
      </c>
      <c r="B42" s="7" t="str">
        <f>HYPERLINK("https://twitter.com/luisbeltri","@luisbeltri")</f>
        <v>@luisbeltri</v>
      </c>
      <c r="C42" s="8" t="s">
        <v>205</v>
      </c>
      <c r="D42" s="9" t="s">
        <v>206</v>
      </c>
      <c r="E42" s="10" t="str">
        <f>HYPERLINK("https://twitter.com/luisbeltri/status/1065960619378122752","1065960619378122752")</f>
        <v>1065960619378122752</v>
      </c>
      <c r="F42" s="12"/>
      <c r="G42" s="12"/>
      <c r="H42" s="12"/>
      <c r="I42" s="13">
        <v>0</v>
      </c>
      <c r="J42" s="13">
        <v>0</v>
      </c>
      <c r="K42" s="14" t="str">
        <f t="shared" si="8"/>
        <v>Twitter for Android</v>
      </c>
      <c r="L42" s="13">
        <v>28078</v>
      </c>
      <c r="M42" s="13">
        <v>18407</v>
      </c>
      <c r="N42" s="13">
        <v>195</v>
      </c>
      <c r="O42" s="15"/>
      <c r="P42" s="6">
        <v>40018.954016203701</v>
      </c>
      <c r="Q42" s="16" t="s">
        <v>208</v>
      </c>
      <c r="R42" s="17" t="s">
        <v>209</v>
      </c>
      <c r="S42" s="12"/>
      <c r="T42" s="12"/>
      <c r="U42" s="10" t="str">
        <f>HYPERLINK("https://pbs.twimg.com/profile_images/1028220595404787712/uTQd5ZiU.jpg","View")</f>
        <v>View</v>
      </c>
    </row>
    <row r="43" spans="1:21" ht="40.799999999999997">
      <c r="A43" s="6">
        <v>43427.603032407409</v>
      </c>
      <c r="B43" s="7" t="str">
        <f>HYPERLINK("https://twitter.com/Madrignado","@Madrignado")</f>
        <v>@Madrignado</v>
      </c>
      <c r="C43" s="8" t="s">
        <v>276</v>
      </c>
      <c r="D43" s="9" t="s">
        <v>277</v>
      </c>
      <c r="E43" s="10" t="str">
        <f>HYPERLINK("https://twitter.com/Madrignado/status/1065960248010317824","1065960248010317824")</f>
        <v>1065960248010317824</v>
      </c>
      <c r="F43" s="12"/>
      <c r="G43" s="12"/>
      <c r="H43" s="12"/>
      <c r="I43" s="13">
        <v>0</v>
      </c>
      <c r="J43" s="13">
        <v>0</v>
      </c>
      <c r="K43" s="14" t="str">
        <f>HYPERLINK("http://twitter.com/download/iphone","Twitter for iPhone")</f>
        <v>Twitter for iPhone</v>
      </c>
      <c r="L43" s="13">
        <v>1417</v>
      </c>
      <c r="M43" s="13">
        <v>331</v>
      </c>
      <c r="N43" s="13">
        <v>8</v>
      </c>
      <c r="O43" s="15"/>
      <c r="P43" s="6">
        <v>42153.722974537042</v>
      </c>
      <c r="Q43" s="12"/>
      <c r="R43" s="17" t="s">
        <v>280</v>
      </c>
      <c r="S43" s="12"/>
      <c r="T43" s="12"/>
      <c r="U43" s="10" t="str">
        <f>HYPERLINK("https://pbs.twimg.com/profile_images/627625775794098176/ggPHjIf7.jpg","View")</f>
        <v>View</v>
      </c>
    </row>
    <row r="44" spans="1:21" ht="20.399999999999999">
      <c r="A44" s="6">
        <v>43427.598194444443</v>
      </c>
      <c r="B44" s="7" t="str">
        <f>HYPERLINK("https://twitter.com/jpuntoruiz","@jpuntoruiz")</f>
        <v>@jpuntoruiz</v>
      </c>
      <c r="C44" s="8" t="s">
        <v>212</v>
      </c>
      <c r="D44" s="9" t="s">
        <v>213</v>
      </c>
      <c r="E44" s="10" t="str">
        <f>HYPERLINK("https://twitter.com/jpuntoruiz/status/1065958496426852353","1065958496426852353")</f>
        <v>1065958496426852353</v>
      </c>
      <c r="F44" s="12"/>
      <c r="G44" s="11" t="s">
        <v>215</v>
      </c>
      <c r="H44" s="12"/>
      <c r="I44" s="13">
        <v>1</v>
      </c>
      <c r="J44" s="13">
        <v>0</v>
      </c>
      <c r="K44" s="14" t="str">
        <f>HYPERLINK("http://twitter.com/download/android","Twitter for Android")</f>
        <v>Twitter for Android</v>
      </c>
      <c r="L44" s="13">
        <v>30</v>
      </c>
      <c r="M44" s="13">
        <v>32</v>
      </c>
      <c r="N44" s="13">
        <v>0</v>
      </c>
      <c r="O44" s="15"/>
      <c r="P44" s="6">
        <v>42715.950335648144</v>
      </c>
      <c r="Q44" s="16" t="s">
        <v>217</v>
      </c>
      <c r="R44" s="17" t="s">
        <v>218</v>
      </c>
      <c r="S44" s="12"/>
      <c r="T44" s="12"/>
      <c r="U44" s="10" t="str">
        <f>HYPERLINK("https://pbs.twimg.com/profile_images/1047537953587830785/9nOcejJm.jpg","View")</f>
        <v>View</v>
      </c>
    </row>
    <row r="45" spans="1:21" ht="13.2">
      <c r="A45" s="6">
        <v>43427.598043981481</v>
      </c>
      <c r="B45" s="7" t="str">
        <f>HYPERLINK("https://twitter.com/carlosteb","@carlosteb")</f>
        <v>@carlosteb</v>
      </c>
      <c r="C45" s="8" t="s">
        <v>221</v>
      </c>
      <c r="D45" s="9" t="s">
        <v>222</v>
      </c>
      <c r="E45" s="10" t="str">
        <f>HYPERLINK("https://twitter.com/carlosteb/status/1065958439174774787","1065958439174774787")</f>
        <v>1065958439174774787</v>
      </c>
      <c r="F45" s="11" t="s">
        <v>223</v>
      </c>
      <c r="G45" s="12"/>
      <c r="H45" s="12"/>
      <c r="I45" s="13">
        <v>0</v>
      </c>
      <c r="J45" s="13">
        <v>0</v>
      </c>
      <c r="K45" s="14" t="str">
        <f>HYPERLINK("http://twitter.com","Twitter Web Client")</f>
        <v>Twitter Web Client</v>
      </c>
      <c r="L45" s="13">
        <v>276</v>
      </c>
      <c r="M45" s="13">
        <v>312</v>
      </c>
      <c r="N45" s="13">
        <v>3</v>
      </c>
      <c r="O45" s="15"/>
      <c r="P45" s="6">
        <v>42691.891898148147</v>
      </c>
      <c r="Q45" s="16" t="s">
        <v>118</v>
      </c>
      <c r="R45" s="17" t="s">
        <v>225</v>
      </c>
      <c r="S45" s="12"/>
      <c r="T45" s="12"/>
      <c r="U45" s="10" t="str">
        <f>HYPERLINK("https://pbs.twimg.com/profile_images/813155078886617088/gM59qWb0.jpg","View")</f>
        <v>View</v>
      </c>
    </row>
    <row r="46" spans="1:21" ht="51">
      <c r="A46" s="6">
        <v>43427.597164351857</v>
      </c>
      <c r="B46" s="7" t="str">
        <f t="shared" ref="B46:B48" si="9">HYPERLINK("https://twitter.com/CiudadanosCs","@CiudadanosCs")</f>
        <v>@CiudadanosCs</v>
      </c>
      <c r="C46" s="8" t="s">
        <v>196</v>
      </c>
      <c r="D46" s="9" t="s">
        <v>228</v>
      </c>
      <c r="E46" s="10" t="str">
        <f>HYPERLINK("https://twitter.com/CiudadanosCs/status/1065958122437652481","1065958122437652481")</f>
        <v>1065958122437652481</v>
      </c>
      <c r="F46" s="12"/>
      <c r="G46" s="11" t="s">
        <v>230</v>
      </c>
      <c r="H46" s="12"/>
      <c r="I46" s="13">
        <v>20</v>
      </c>
      <c r="J46" s="13">
        <v>18</v>
      </c>
      <c r="K46" s="14" t="str">
        <f t="shared" ref="K46:K48" si="10">HYPERLINK("https://studio.twitter.com","Media Studio")</f>
        <v>Media Studio</v>
      </c>
      <c r="L46" s="13">
        <v>486503</v>
      </c>
      <c r="M46" s="13">
        <v>93653</v>
      </c>
      <c r="N46" s="13">
        <v>3318</v>
      </c>
      <c r="O46" s="18" t="s">
        <v>36</v>
      </c>
      <c r="P46" s="6">
        <v>39828.753460648149</v>
      </c>
      <c r="Q46" s="16" t="s">
        <v>37</v>
      </c>
      <c r="R46" s="17" t="s">
        <v>202</v>
      </c>
      <c r="S46" s="11" t="s">
        <v>203</v>
      </c>
      <c r="T46" s="12"/>
      <c r="U46" s="10" t="str">
        <f t="shared" ref="U46:U48" si="11">HYPERLINK("https://pbs.twimg.com/profile_images/1053554096161075200/1z77_zBZ.jpg","View")</f>
        <v>View</v>
      </c>
    </row>
    <row r="47" spans="1:21" ht="40.799999999999997">
      <c r="A47" s="6">
        <v>43427.596898148149</v>
      </c>
      <c r="B47" s="7" t="str">
        <f t="shared" si="9"/>
        <v>@CiudadanosCs</v>
      </c>
      <c r="C47" s="8" t="s">
        <v>196</v>
      </c>
      <c r="D47" s="9" t="s">
        <v>232</v>
      </c>
      <c r="E47" s="10" t="str">
        <f>HYPERLINK("https://twitter.com/CiudadanosCs/status/1065958025146572800","1065958025146572800")</f>
        <v>1065958025146572800</v>
      </c>
      <c r="F47" s="12"/>
      <c r="G47" s="11" t="s">
        <v>233</v>
      </c>
      <c r="H47" s="12"/>
      <c r="I47" s="13">
        <v>14</v>
      </c>
      <c r="J47" s="13">
        <v>17</v>
      </c>
      <c r="K47" s="14" t="str">
        <f t="shared" si="10"/>
        <v>Media Studio</v>
      </c>
      <c r="L47" s="13">
        <v>486503</v>
      </c>
      <c r="M47" s="13">
        <v>93653</v>
      </c>
      <c r="N47" s="13">
        <v>3318</v>
      </c>
      <c r="O47" s="18" t="s">
        <v>36</v>
      </c>
      <c r="P47" s="6">
        <v>39828.753460648149</v>
      </c>
      <c r="Q47" s="16" t="s">
        <v>37</v>
      </c>
      <c r="R47" s="17" t="s">
        <v>202</v>
      </c>
      <c r="S47" s="11" t="s">
        <v>203</v>
      </c>
      <c r="T47" s="12"/>
      <c r="U47" s="10" t="str">
        <f t="shared" si="11"/>
        <v>View</v>
      </c>
    </row>
    <row r="48" spans="1:21" ht="40.799999999999997">
      <c r="A48" s="6">
        <v>43427.596354166672</v>
      </c>
      <c r="B48" s="7" t="str">
        <f t="shared" si="9"/>
        <v>@CiudadanosCs</v>
      </c>
      <c r="C48" s="8" t="s">
        <v>196</v>
      </c>
      <c r="D48" s="9" t="s">
        <v>234</v>
      </c>
      <c r="E48" s="10" t="str">
        <f>HYPERLINK("https://twitter.com/CiudadanosCs/status/1065957829142609921","1065957829142609921")</f>
        <v>1065957829142609921</v>
      </c>
      <c r="F48" s="12"/>
      <c r="G48" s="11" t="s">
        <v>235</v>
      </c>
      <c r="H48" s="12"/>
      <c r="I48" s="13">
        <v>30</v>
      </c>
      <c r="J48" s="13">
        <v>35</v>
      </c>
      <c r="K48" s="14" t="str">
        <f t="shared" si="10"/>
        <v>Media Studio</v>
      </c>
      <c r="L48" s="13">
        <v>486503</v>
      </c>
      <c r="M48" s="13">
        <v>93653</v>
      </c>
      <c r="N48" s="13">
        <v>3318</v>
      </c>
      <c r="O48" s="18" t="s">
        <v>36</v>
      </c>
      <c r="P48" s="6">
        <v>39828.753460648149</v>
      </c>
      <c r="Q48" s="16" t="s">
        <v>37</v>
      </c>
      <c r="R48" s="17" t="s">
        <v>202</v>
      </c>
      <c r="S48" s="11" t="s">
        <v>203</v>
      </c>
      <c r="T48" s="12"/>
      <c r="U48" s="10" t="str">
        <f t="shared" si="11"/>
        <v>View</v>
      </c>
    </row>
    <row r="49" spans="1:21" ht="71.400000000000006">
      <c r="A49" s="6">
        <v>43427.596284722225</v>
      </c>
      <c r="B49" s="7" t="str">
        <f>HYPERLINK("https://twitter.com/Davidoff_bcn","@Davidoff_bcn")</f>
        <v>@Davidoff_bcn</v>
      </c>
      <c r="C49" s="8" t="s">
        <v>236</v>
      </c>
      <c r="D49" s="9" t="s">
        <v>237</v>
      </c>
      <c r="E49" s="10" t="str">
        <f>HYPERLINK("https://twitter.com/Davidoff_bcn/status/1065957801393102854","1065957801393102854")</f>
        <v>1065957801393102854</v>
      </c>
      <c r="F49" s="11" t="s">
        <v>238</v>
      </c>
      <c r="G49" s="11" t="s">
        <v>239</v>
      </c>
      <c r="H49" s="12"/>
      <c r="I49" s="13">
        <v>1</v>
      </c>
      <c r="J49" s="13">
        <v>1</v>
      </c>
      <c r="K49" s="14" t="str">
        <f>HYPERLINK("http://twitter.com/download/iphone","Twitter for iPhone")</f>
        <v>Twitter for iPhone</v>
      </c>
      <c r="L49" s="13">
        <v>5184</v>
      </c>
      <c r="M49" s="13">
        <v>5228</v>
      </c>
      <c r="N49" s="13">
        <v>1</v>
      </c>
      <c r="O49" s="15"/>
      <c r="P49" s="6">
        <v>42071.60256944444</v>
      </c>
      <c r="Q49" s="12"/>
      <c r="R49" s="17" t="s">
        <v>240</v>
      </c>
      <c r="S49" s="12"/>
      <c r="T49" s="12"/>
      <c r="U49" s="10" t="str">
        <f>HYPERLINK("https://pbs.twimg.com/profile_images/1035164459612954624/zfxdH09k.jpg","View")</f>
        <v>View</v>
      </c>
    </row>
    <row r="50" spans="1:21" ht="40.799999999999997">
      <c r="A50" s="6">
        <v>43427.596076388887</v>
      </c>
      <c r="B50" s="7" t="str">
        <f t="shared" ref="B50:B51" si="12">HYPERLINK("https://twitter.com/CiudadanosCs","@CiudadanosCs")</f>
        <v>@CiudadanosCs</v>
      </c>
      <c r="C50" s="8" t="s">
        <v>196</v>
      </c>
      <c r="D50" s="9" t="s">
        <v>241</v>
      </c>
      <c r="E50" s="10" t="str">
        <f>HYPERLINK("https://twitter.com/CiudadanosCs/status/1065957729850793984","1065957729850793984")</f>
        <v>1065957729850793984</v>
      </c>
      <c r="F50" s="12"/>
      <c r="G50" s="11" t="s">
        <v>242</v>
      </c>
      <c r="H50" s="12"/>
      <c r="I50" s="13">
        <v>16</v>
      </c>
      <c r="J50" s="13">
        <v>20</v>
      </c>
      <c r="K50" s="14" t="str">
        <f t="shared" ref="K50:K51" si="13">HYPERLINK("https://studio.twitter.com","Media Studio")</f>
        <v>Media Studio</v>
      </c>
      <c r="L50" s="13">
        <v>486503</v>
      </c>
      <c r="M50" s="13">
        <v>93653</v>
      </c>
      <c r="N50" s="13">
        <v>3318</v>
      </c>
      <c r="O50" s="18" t="s">
        <v>36</v>
      </c>
      <c r="P50" s="6">
        <v>39828.753460648149</v>
      </c>
      <c r="Q50" s="16" t="s">
        <v>37</v>
      </c>
      <c r="R50" s="17" t="s">
        <v>202</v>
      </c>
      <c r="S50" s="11" t="s">
        <v>203</v>
      </c>
      <c r="T50" s="12"/>
      <c r="U50" s="10" t="str">
        <f t="shared" ref="U50:U51" si="14">HYPERLINK("https://pbs.twimg.com/profile_images/1053554096161075200/1z77_zBZ.jpg","View")</f>
        <v>View</v>
      </c>
    </row>
    <row r="51" spans="1:21" ht="40.799999999999997">
      <c r="A51" s="6">
        <v>43427.595706018517</v>
      </c>
      <c r="B51" s="7" t="str">
        <f t="shared" si="12"/>
        <v>@CiudadanosCs</v>
      </c>
      <c r="C51" s="8" t="s">
        <v>196</v>
      </c>
      <c r="D51" s="9" t="s">
        <v>243</v>
      </c>
      <c r="E51" s="10" t="str">
        <f>HYPERLINK("https://twitter.com/CiudadanosCs/status/1065957592567025664","1065957592567025664")</f>
        <v>1065957592567025664</v>
      </c>
      <c r="F51" s="12"/>
      <c r="G51" s="11" t="s">
        <v>244</v>
      </c>
      <c r="H51" s="12"/>
      <c r="I51" s="13">
        <v>19</v>
      </c>
      <c r="J51" s="13">
        <v>25</v>
      </c>
      <c r="K51" s="14" t="str">
        <f t="shared" si="13"/>
        <v>Media Studio</v>
      </c>
      <c r="L51" s="13">
        <v>486503</v>
      </c>
      <c r="M51" s="13">
        <v>93653</v>
      </c>
      <c r="N51" s="13">
        <v>3318</v>
      </c>
      <c r="O51" s="18" t="s">
        <v>36</v>
      </c>
      <c r="P51" s="6">
        <v>39828.753460648149</v>
      </c>
      <c r="Q51" s="16" t="s">
        <v>37</v>
      </c>
      <c r="R51" s="17" t="s">
        <v>202</v>
      </c>
      <c r="S51" s="11" t="s">
        <v>203</v>
      </c>
      <c r="T51" s="12"/>
      <c r="U51" s="10" t="str">
        <f t="shared" si="14"/>
        <v>View</v>
      </c>
    </row>
    <row r="52" spans="1:21" ht="61.2">
      <c r="A52" s="6">
        <v>43427.595219907409</v>
      </c>
      <c r="B52" s="7" t="str">
        <f>HYPERLINK("https://twitter.com/ProfesorAronax","@ProfesorAronax")</f>
        <v>@ProfesorAronax</v>
      </c>
      <c r="C52" s="8" t="s">
        <v>245</v>
      </c>
      <c r="D52" s="9" t="s">
        <v>246</v>
      </c>
      <c r="E52" s="10" t="str">
        <f>HYPERLINK("https://twitter.com/ProfesorAronax/status/1065957418323099648","1065957418323099648")</f>
        <v>1065957418323099648</v>
      </c>
      <c r="F52" s="16" t="s">
        <v>247</v>
      </c>
      <c r="G52" s="12"/>
      <c r="H52" s="12"/>
      <c r="I52" s="13">
        <v>0</v>
      </c>
      <c r="J52" s="13">
        <v>1</v>
      </c>
      <c r="K52" s="14" t="str">
        <f>HYPERLINK("http://twitter.com/download/android","Twitter for Android")</f>
        <v>Twitter for Android</v>
      </c>
      <c r="L52" s="13">
        <v>239</v>
      </c>
      <c r="M52" s="13">
        <v>368</v>
      </c>
      <c r="N52" s="13">
        <v>3</v>
      </c>
      <c r="O52" s="15"/>
      <c r="P52" s="6">
        <v>40570.247245370367</v>
      </c>
      <c r="Q52" s="16" t="s">
        <v>37</v>
      </c>
      <c r="R52" s="19"/>
      <c r="S52" s="12"/>
      <c r="T52" s="12"/>
      <c r="U52" s="10" t="str">
        <f>HYPERLINK("https://pbs.twimg.com/profile_images/914442345214566402/tAaD2dvH.jpg","View")</f>
        <v>View</v>
      </c>
    </row>
    <row r="53" spans="1:21" ht="30.6">
      <c r="A53" s="6">
        <v>43427.595057870371</v>
      </c>
      <c r="B53" s="7" t="str">
        <f>HYPERLINK("https://twitter.com/CiudadanosCs","@CiudadanosCs")</f>
        <v>@CiudadanosCs</v>
      </c>
      <c r="C53" s="8" t="s">
        <v>196</v>
      </c>
      <c r="D53" s="9" t="s">
        <v>248</v>
      </c>
      <c r="E53" s="10" t="str">
        <f>HYPERLINK("https://twitter.com/CiudadanosCs/status/1065957359539888128","1065957359539888128")</f>
        <v>1065957359539888128</v>
      </c>
      <c r="F53" s="12"/>
      <c r="G53" s="11" t="s">
        <v>251</v>
      </c>
      <c r="H53" s="12"/>
      <c r="I53" s="13">
        <v>9</v>
      </c>
      <c r="J53" s="13">
        <v>16</v>
      </c>
      <c r="K53" s="14" t="str">
        <f>HYPERLINK("https://studio.twitter.com","Media Studio")</f>
        <v>Media Studio</v>
      </c>
      <c r="L53" s="13">
        <v>486503</v>
      </c>
      <c r="M53" s="13">
        <v>93653</v>
      </c>
      <c r="N53" s="13">
        <v>3318</v>
      </c>
      <c r="O53" s="18" t="s">
        <v>36</v>
      </c>
      <c r="P53" s="6">
        <v>39828.753460648149</v>
      </c>
      <c r="Q53" s="16" t="s">
        <v>37</v>
      </c>
      <c r="R53" s="17" t="s">
        <v>202</v>
      </c>
      <c r="S53" s="11" t="s">
        <v>203</v>
      </c>
      <c r="T53" s="12"/>
      <c r="U53" s="10" t="str">
        <f>HYPERLINK("https://pbs.twimg.com/profile_images/1053554096161075200/1z77_zBZ.jpg","View")</f>
        <v>View</v>
      </c>
    </row>
    <row r="54" spans="1:21" ht="40.799999999999997">
      <c r="A54" s="6">
        <v>43427.592546296291</v>
      </c>
      <c r="B54" s="7" t="str">
        <f>HYPERLINK("https://twitter.com/VictoriaCsPla","@VictoriaCsPla")</f>
        <v>@VictoriaCsPla</v>
      </c>
      <c r="C54" s="8" t="s">
        <v>254</v>
      </c>
      <c r="D54" s="9" t="s">
        <v>255</v>
      </c>
      <c r="E54" s="10" t="str">
        <f>HYPERLINK("https://twitter.com/VictoriaCsPla/status/1065956448998440965","1065956448998440965")</f>
        <v>1065956448998440965</v>
      </c>
      <c r="F54" s="12"/>
      <c r="G54" s="11" t="s">
        <v>256</v>
      </c>
      <c r="H54" s="12"/>
      <c r="I54" s="13">
        <v>1</v>
      </c>
      <c r="J54" s="13">
        <v>2</v>
      </c>
      <c r="K54" s="14" t="str">
        <f>HYPERLINK("http://twitter.com/download/iphone","Twitter for iPhone")</f>
        <v>Twitter for iPhone</v>
      </c>
      <c r="L54" s="13">
        <v>1941</v>
      </c>
      <c r="M54" s="13">
        <v>997</v>
      </c>
      <c r="N54" s="13">
        <v>28</v>
      </c>
      <c r="O54" s="15"/>
      <c r="P54" s="6">
        <v>41968.839004629626</v>
      </c>
      <c r="Q54" s="12"/>
      <c r="R54" s="17" t="s">
        <v>257</v>
      </c>
      <c r="S54" s="12"/>
      <c r="T54" s="12"/>
      <c r="U54" s="10" t="str">
        <f>HYPERLINK("https://pbs.twimg.com/profile_images/696060478481690625/4LJfxC5t.jpg","View")</f>
        <v>View</v>
      </c>
    </row>
    <row r="55" spans="1:21" ht="30.6">
      <c r="A55" s="6">
        <v>43427.586064814815</v>
      </c>
      <c r="B55" s="7" t="str">
        <f>HYPERLINK("https://twitter.com/atgcr","@atgcr")</f>
        <v>@atgcr</v>
      </c>
      <c r="C55" s="8" t="s">
        <v>329</v>
      </c>
      <c r="D55" s="9" t="s">
        <v>330</v>
      </c>
      <c r="E55" s="10" t="str">
        <f>HYPERLINK("https://twitter.com/atgcr/status/1065954099529752582","1065954099529752582")</f>
        <v>1065954099529752582</v>
      </c>
      <c r="F55" s="12"/>
      <c r="G55" s="12"/>
      <c r="H55" s="12"/>
      <c r="I55" s="13">
        <v>0</v>
      </c>
      <c r="J55" s="13">
        <v>0</v>
      </c>
      <c r="K55" s="14" t="str">
        <f t="shared" ref="K55:K57" si="15">HYPERLINK("http://twitter.com/download/android","Twitter for Android")</f>
        <v>Twitter for Android</v>
      </c>
      <c r="L55" s="13">
        <v>1042</v>
      </c>
      <c r="M55" s="13">
        <v>1472</v>
      </c>
      <c r="N55" s="13">
        <v>12</v>
      </c>
      <c r="O55" s="15"/>
      <c r="P55" s="6">
        <v>40854.613379629627</v>
      </c>
      <c r="Q55" s="16" t="s">
        <v>333</v>
      </c>
      <c r="R55" s="19"/>
      <c r="S55" s="12"/>
      <c r="T55" s="12"/>
      <c r="U55" s="10" t="str">
        <f>HYPERLINK("https://pbs.twimg.com/profile_images/1065758340381360128/sOiS6o-Y.jpg","View")</f>
        <v>View</v>
      </c>
    </row>
    <row r="56" spans="1:21" ht="40.799999999999997">
      <c r="A56" s="6">
        <v>43427.584293981483</v>
      </c>
      <c r="B56" s="7" t="str">
        <f>HYPERLINK("https://twitter.com/ATUspain","@ATUspain")</f>
        <v>@ATUspain</v>
      </c>
      <c r="C56" s="8" t="s">
        <v>336</v>
      </c>
      <c r="D56" s="9" t="s">
        <v>337</v>
      </c>
      <c r="E56" s="10" t="str">
        <f>HYPERLINK("https://twitter.com/ATUspain/status/1065953456891068417","1065953456891068417")</f>
        <v>1065953456891068417</v>
      </c>
      <c r="F56" s="16" t="s">
        <v>338</v>
      </c>
      <c r="G56" s="12"/>
      <c r="H56" s="12"/>
      <c r="I56" s="13">
        <v>1</v>
      </c>
      <c r="J56" s="13">
        <v>0</v>
      </c>
      <c r="K56" s="14" t="str">
        <f t="shared" si="15"/>
        <v>Twitter for Android</v>
      </c>
      <c r="L56" s="13">
        <v>3754</v>
      </c>
      <c r="M56" s="13">
        <v>2770</v>
      </c>
      <c r="N56" s="13">
        <v>364</v>
      </c>
      <c r="O56" s="15"/>
      <c r="P56" s="6">
        <v>41105.466493055559</v>
      </c>
      <c r="Q56" s="16" t="s">
        <v>339</v>
      </c>
      <c r="R56" s="17" t="s">
        <v>340</v>
      </c>
      <c r="S56" s="11" t="s">
        <v>341</v>
      </c>
      <c r="T56" s="12"/>
      <c r="U56" s="10" t="str">
        <f>HYPERLINK("https://pbs.twimg.com/profile_images/882981136149958656/mLdMFoLe.jpg","View")</f>
        <v>View</v>
      </c>
    </row>
    <row r="57" spans="1:21" ht="40.799999999999997">
      <c r="A57" s="6">
        <v>43427.58121527778</v>
      </c>
      <c r="B57" s="7" t="str">
        <f>HYPERLINK("https://twitter.com/VicenteLizondo","@VicenteLizondo")</f>
        <v>@VicenteLizondo</v>
      </c>
      <c r="C57" s="8" t="s">
        <v>258</v>
      </c>
      <c r="D57" s="9" t="s">
        <v>259</v>
      </c>
      <c r="E57" s="10" t="str">
        <f>HYPERLINK("https://twitter.com/VicenteLizondo/status/1065952340346310656","1065952340346310656")</f>
        <v>1065952340346310656</v>
      </c>
      <c r="F57" s="12"/>
      <c r="G57" s="11" t="s">
        <v>260</v>
      </c>
      <c r="H57" s="12"/>
      <c r="I57" s="13">
        <v>5</v>
      </c>
      <c r="J57" s="13">
        <v>9</v>
      </c>
      <c r="K57" s="14" t="str">
        <f t="shared" si="15"/>
        <v>Twitter for Android</v>
      </c>
      <c r="L57" s="13">
        <v>1672</v>
      </c>
      <c r="M57" s="13">
        <v>12</v>
      </c>
      <c r="N57" s="13">
        <v>11</v>
      </c>
      <c r="O57" s="15"/>
      <c r="P57" s="6">
        <v>41961.675196759257</v>
      </c>
      <c r="Q57" s="16" t="s">
        <v>263</v>
      </c>
      <c r="R57" s="17" t="s">
        <v>264</v>
      </c>
      <c r="S57" s="11" t="s">
        <v>265</v>
      </c>
      <c r="T57" s="12"/>
      <c r="U57" s="10" t="str">
        <f>HYPERLINK("https://pbs.twimg.com/profile_images/822527706634092544/oTjCfNn9.jpg","View")</f>
        <v>View</v>
      </c>
    </row>
    <row r="58" spans="1:21" ht="71.400000000000006">
      <c r="A58" s="6">
        <v>43427.571064814816</v>
      </c>
      <c r="B58" s="7" t="str">
        <f>HYPERLINK("https://twitter.com/AdelanteAND","@AdelanteAND")</f>
        <v>@AdelanteAND</v>
      </c>
      <c r="C58" s="8" t="s">
        <v>349</v>
      </c>
      <c r="D58" s="9" t="s">
        <v>350</v>
      </c>
      <c r="E58" s="10" t="str">
        <f>HYPERLINK("https://twitter.com/AdelanteAND/status/1065948664714194950","1065948664714194950")</f>
        <v>1065948664714194950</v>
      </c>
      <c r="F58" s="11" t="s">
        <v>352</v>
      </c>
      <c r="G58" s="11" t="s">
        <v>353</v>
      </c>
      <c r="H58" s="12"/>
      <c r="I58" s="13">
        <v>186</v>
      </c>
      <c r="J58" s="13">
        <v>237</v>
      </c>
      <c r="K58" s="14" t="str">
        <f>HYPERLINK("https://about.twitter.com/products/tweetdeck","TweetDeck")</f>
        <v>TweetDeck</v>
      </c>
      <c r="L58" s="13">
        <v>8153</v>
      </c>
      <c r="M58" s="13">
        <v>174</v>
      </c>
      <c r="N58" s="13">
        <v>53</v>
      </c>
      <c r="O58" s="15"/>
      <c r="P58" s="6">
        <v>43241.904016203705</v>
      </c>
      <c r="Q58" s="16" t="s">
        <v>170</v>
      </c>
      <c r="R58" s="17" t="s">
        <v>354</v>
      </c>
      <c r="S58" s="11" t="s">
        <v>356</v>
      </c>
      <c r="T58" s="12"/>
      <c r="U58" s="10" t="str">
        <f>HYPERLINK("https://pbs.twimg.com/profile_images/1042451530929135616/2ovGR23T.jpg","View")</f>
        <v>View</v>
      </c>
    </row>
    <row r="59" spans="1:21" ht="40.799999999999997">
      <c r="A59" s="6">
        <v>43427.565671296295</v>
      </c>
      <c r="B59" s="7" t="str">
        <f>HYPERLINK("https://twitter.com/kodiario_","@kodiario_")</f>
        <v>@kodiario_</v>
      </c>
      <c r="C59" s="8" t="s">
        <v>359</v>
      </c>
      <c r="D59" s="9" t="s">
        <v>360</v>
      </c>
      <c r="E59" s="10" t="str">
        <f>HYPERLINK("https://twitter.com/kodiario_/status/1065946710826991618","1065946710826991618")</f>
        <v>1065946710826991618</v>
      </c>
      <c r="F59" s="11" t="s">
        <v>361</v>
      </c>
      <c r="G59" s="12"/>
      <c r="H59" s="12"/>
      <c r="I59" s="13">
        <v>6</v>
      </c>
      <c r="J59" s="13">
        <v>5</v>
      </c>
      <c r="K59" s="14" t="str">
        <f t="shared" ref="K59:K60" si="16">HYPERLINK("http://twitter.com/download/android","Twitter for Android")</f>
        <v>Twitter for Android</v>
      </c>
      <c r="L59" s="13">
        <v>4595</v>
      </c>
      <c r="M59" s="13">
        <v>322</v>
      </c>
      <c r="N59" s="13">
        <v>55</v>
      </c>
      <c r="O59" s="15"/>
      <c r="P59" s="6">
        <v>42564.053425925929</v>
      </c>
      <c r="Q59" s="12"/>
      <c r="R59" s="17" t="s">
        <v>365</v>
      </c>
      <c r="S59" s="12"/>
      <c r="T59" s="12"/>
      <c r="U59" s="10" t="str">
        <f>HYPERLINK("https://pbs.twimg.com/profile_images/977352060571148288/z2lxbv4P.jpg","View")</f>
        <v>View</v>
      </c>
    </row>
    <row r="60" spans="1:21" ht="40.799999999999997">
      <c r="A60" s="6">
        <v>43427.565486111111</v>
      </c>
      <c r="B60" s="7" t="str">
        <f>HYPERLINK("https://twitter.com/Cs_Guadalajara","@Cs_Guadalajara")</f>
        <v>@Cs_Guadalajara</v>
      </c>
      <c r="C60" s="8" t="s">
        <v>268</v>
      </c>
      <c r="D60" s="9" t="s">
        <v>269</v>
      </c>
      <c r="E60" s="10" t="str">
        <f>HYPERLINK("https://twitter.com/Cs_Guadalajara/status/1065946642069757957","1065946642069757957")</f>
        <v>1065946642069757957</v>
      </c>
      <c r="F60" s="12"/>
      <c r="G60" s="11" t="s">
        <v>270</v>
      </c>
      <c r="H60" s="12"/>
      <c r="I60" s="13">
        <v>0</v>
      </c>
      <c r="J60" s="13">
        <v>2</v>
      </c>
      <c r="K60" s="14" t="str">
        <f t="shared" si="16"/>
        <v>Twitter for Android</v>
      </c>
      <c r="L60" s="13">
        <v>3203</v>
      </c>
      <c r="M60" s="13">
        <v>2388</v>
      </c>
      <c r="N60" s="13">
        <v>56</v>
      </c>
      <c r="O60" s="15"/>
      <c r="P60" s="6">
        <v>41874.941435185188</v>
      </c>
      <c r="Q60" s="16" t="s">
        <v>271</v>
      </c>
      <c r="R60" s="17" t="s">
        <v>272</v>
      </c>
      <c r="S60" s="11" t="s">
        <v>273</v>
      </c>
      <c r="T60" s="12"/>
      <c r="U60" s="10" t="str">
        <f>HYPERLINK("https://pbs.twimg.com/profile_images/899521302339493888/baoQBrzP.jpg","View")</f>
        <v>View</v>
      </c>
    </row>
    <row r="61" spans="1:21" ht="61.2">
      <c r="A61" s="6">
        <v>43427.563125000001</v>
      </c>
      <c r="B61" s="7" t="str">
        <f>HYPERLINK("https://twitter.com/Conde_Duque","@Conde_Duque")</f>
        <v>@Conde_Duque</v>
      </c>
      <c r="C61" s="8" t="s">
        <v>287</v>
      </c>
      <c r="D61" s="9" t="s">
        <v>373</v>
      </c>
      <c r="E61" s="10" t="str">
        <f>HYPERLINK("https://twitter.com/Conde_Duque/status/1065945784749907968","1065945784749907968")</f>
        <v>1065945784749907968</v>
      </c>
      <c r="F61" s="16" t="s">
        <v>374</v>
      </c>
      <c r="G61" s="12"/>
      <c r="H61" s="12"/>
      <c r="I61" s="13">
        <v>0</v>
      </c>
      <c r="J61" s="13">
        <v>0</v>
      </c>
      <c r="K61" s="14" t="str">
        <f>HYPERLINK("http://twitter.com/#!/download/ipad","Twitter for iPad")</f>
        <v>Twitter for iPad</v>
      </c>
      <c r="L61" s="13">
        <v>1379</v>
      </c>
      <c r="M61" s="13">
        <v>2411</v>
      </c>
      <c r="N61" s="13">
        <v>37</v>
      </c>
      <c r="O61" s="15"/>
      <c r="P61" s="6">
        <v>40017.274270833332</v>
      </c>
      <c r="Q61" s="16" t="s">
        <v>291</v>
      </c>
      <c r="R61" s="17" t="s">
        <v>292</v>
      </c>
      <c r="S61" s="12"/>
      <c r="T61" s="12"/>
      <c r="U61" s="10" t="str">
        <f>HYPERLINK("https://pbs.twimg.com/profile_images/327670567/IMG00225-20090612-1848.jpg","View")</f>
        <v>View</v>
      </c>
    </row>
    <row r="62" spans="1:21" ht="30.6">
      <c r="A62" s="6">
        <v>43427.563090277778</v>
      </c>
      <c r="B62" s="7" t="str">
        <f>HYPERLINK("https://twitter.com/JcsGalicia","@JcsGalicia")</f>
        <v>@JcsGalicia</v>
      </c>
      <c r="C62" s="8" t="s">
        <v>274</v>
      </c>
      <c r="D62" s="9" t="s">
        <v>275</v>
      </c>
      <c r="E62" s="10" t="str">
        <f>HYPERLINK("https://twitter.com/JcsGalicia/status/1065945774926761985","1065945774926761985")</f>
        <v>1065945774926761985</v>
      </c>
      <c r="F62" s="12"/>
      <c r="G62" s="11" t="s">
        <v>278</v>
      </c>
      <c r="H62" s="12"/>
      <c r="I62" s="13">
        <v>23</v>
      </c>
      <c r="J62" s="13">
        <v>18</v>
      </c>
      <c r="K62" s="14" t="str">
        <f>HYPERLINK("http://twitter.com/download/android","Twitter for Android")</f>
        <v>Twitter for Android</v>
      </c>
      <c r="L62" s="13">
        <v>658</v>
      </c>
      <c r="M62" s="13">
        <v>511</v>
      </c>
      <c r="N62" s="13">
        <v>1</v>
      </c>
      <c r="O62" s="15"/>
      <c r="P62" s="6">
        <v>43005.318553240737</v>
      </c>
      <c r="Q62" s="12"/>
      <c r="R62" s="17" t="s">
        <v>279</v>
      </c>
      <c r="S62" s="12"/>
      <c r="T62" s="12"/>
      <c r="U62" s="10" t="str">
        <f>HYPERLINK("https://pbs.twimg.com/profile_images/1053554623733288960/m7VIj2qD.jpg","View")</f>
        <v>View</v>
      </c>
    </row>
    <row r="63" spans="1:21" ht="51">
      <c r="A63" s="6">
        <v>43427.562731481477</v>
      </c>
      <c r="B63" s="7" t="str">
        <f>HYPERLINK("https://twitter.com/AhoraCantabria","@AhoraCantabria")</f>
        <v>@AhoraCantabria</v>
      </c>
      <c r="C63" s="8" t="s">
        <v>379</v>
      </c>
      <c r="D63" s="9" t="s">
        <v>382</v>
      </c>
      <c r="E63" s="10" t="str">
        <f>HYPERLINK("https://twitter.com/AhoraCantabria/status/1065945645624844289","1065945645624844289")</f>
        <v>1065945645624844289</v>
      </c>
      <c r="F63" s="12"/>
      <c r="G63" s="11" t="s">
        <v>386</v>
      </c>
      <c r="H63" s="12"/>
      <c r="I63" s="13">
        <v>0</v>
      </c>
      <c r="J63" s="13">
        <v>0</v>
      </c>
      <c r="K63" s="14" t="str">
        <f>HYPERLINK("https://buffer.com","Buffer")</f>
        <v>Buffer</v>
      </c>
      <c r="L63" s="13">
        <v>8579</v>
      </c>
      <c r="M63" s="13">
        <v>1430</v>
      </c>
      <c r="N63" s="13">
        <v>135</v>
      </c>
      <c r="O63" s="15"/>
      <c r="P63" s="6">
        <v>41200.829687500001</v>
      </c>
      <c r="Q63" s="16" t="s">
        <v>383</v>
      </c>
      <c r="R63" s="17" t="s">
        <v>384</v>
      </c>
      <c r="S63" s="11" t="s">
        <v>385</v>
      </c>
      <c r="T63" s="12"/>
      <c r="U63" s="10" t="str">
        <f>HYPERLINK("https://pbs.twimg.com/profile_images/978940959617617922/UqYGk2Wc.jpg","View")</f>
        <v>View</v>
      </c>
    </row>
    <row r="64" spans="1:21" ht="51">
      <c r="A64" s="6">
        <v>43427.55846064815</v>
      </c>
      <c r="B64" s="7" t="str">
        <f>HYPERLINK("https://twitter.com/Albert_Rivera","@Albert_Rivera")</f>
        <v>@Albert_Rivera</v>
      </c>
      <c r="C64" s="8" t="s">
        <v>389</v>
      </c>
      <c r="D64" s="9" t="s">
        <v>390</v>
      </c>
      <c r="E64" s="10" t="str">
        <f>HYPERLINK("https://twitter.com/Albert_Rivera/status/1065944096152399873","1065944096152399873")</f>
        <v>1065944096152399873</v>
      </c>
      <c r="F64" s="12"/>
      <c r="G64" s="12"/>
      <c r="H64" s="12"/>
      <c r="I64" s="13">
        <v>406</v>
      </c>
      <c r="J64" s="13">
        <v>879</v>
      </c>
      <c r="K64" s="14" t="str">
        <f t="shared" ref="K64:K66" si="17">HYPERLINK("http://twitter.com/download/iphone","Twitter for iPhone")</f>
        <v>Twitter for iPhone</v>
      </c>
      <c r="L64" s="13">
        <v>1071530</v>
      </c>
      <c r="M64" s="13">
        <v>2545</v>
      </c>
      <c r="N64" s="13">
        <v>5104</v>
      </c>
      <c r="O64" s="18" t="s">
        <v>36</v>
      </c>
      <c r="P64" s="6">
        <v>40205.748171296298</v>
      </c>
      <c r="Q64" s="16" t="s">
        <v>37</v>
      </c>
      <c r="R64" s="17" t="s">
        <v>393</v>
      </c>
      <c r="S64" s="11" t="s">
        <v>394</v>
      </c>
      <c r="T64" s="12"/>
      <c r="U64" s="10" t="str">
        <f>HYPERLINK("https://pbs.twimg.com/profile_images/1030708936779988993/RncDM4EZ.jpg","View")</f>
        <v>View</v>
      </c>
    </row>
    <row r="65" spans="1:21" ht="51">
      <c r="A65" s="6">
        <v>43427.555</v>
      </c>
      <c r="B65" s="7" t="str">
        <f>HYPERLINK("https://twitter.com/IbnCanales","@IbnCanales")</f>
        <v>@IbnCanales</v>
      </c>
      <c r="C65" s="8" t="s">
        <v>397</v>
      </c>
      <c r="D65" s="9" t="s">
        <v>398</v>
      </c>
      <c r="E65" s="10" t="str">
        <f>HYPERLINK("https://twitter.com/IbnCanales/status/1065942841023696896","1065942841023696896")</f>
        <v>1065942841023696896</v>
      </c>
      <c r="F65" s="11" t="s">
        <v>400</v>
      </c>
      <c r="G65" s="11" t="s">
        <v>401</v>
      </c>
      <c r="H65" s="12"/>
      <c r="I65" s="13">
        <v>2</v>
      </c>
      <c r="J65" s="13">
        <v>3</v>
      </c>
      <c r="K65" s="14" t="str">
        <f t="shared" si="17"/>
        <v>Twitter for iPhone</v>
      </c>
      <c r="L65" s="13">
        <v>700</v>
      </c>
      <c r="M65" s="13">
        <v>450</v>
      </c>
      <c r="N65" s="13">
        <v>8</v>
      </c>
      <c r="O65" s="15"/>
      <c r="P65" s="6">
        <v>40344.831006944441</v>
      </c>
      <c r="Q65" s="16" t="s">
        <v>403</v>
      </c>
      <c r="R65" s="19"/>
      <c r="S65" s="12"/>
      <c r="T65" s="12"/>
      <c r="U65" s="10" t="str">
        <f>HYPERLINK("https://pbs.twimg.com/profile_images/949747756750516224/Kb8xFyGT.jpg","View")</f>
        <v>View</v>
      </c>
    </row>
    <row r="66" spans="1:21" ht="122.4">
      <c r="A66" s="6">
        <v>43427.55467592593</v>
      </c>
      <c r="B66" s="7" t="str">
        <f>HYPERLINK("https://twitter.com/cubanilluminati","@cubanilluminati")</f>
        <v>@cubanilluminati</v>
      </c>
      <c r="C66" s="8" t="s">
        <v>407</v>
      </c>
      <c r="D66" s="9" t="s">
        <v>408</v>
      </c>
      <c r="E66" s="10" t="str">
        <f>HYPERLINK("https://twitter.com/cubanilluminati/status/1065942725231435777","1065942725231435777")</f>
        <v>1065942725231435777</v>
      </c>
      <c r="F66" s="16" t="s">
        <v>410</v>
      </c>
      <c r="G66" s="12"/>
      <c r="H66" s="12"/>
      <c r="I66" s="13">
        <v>1</v>
      </c>
      <c r="J66" s="13">
        <v>2</v>
      </c>
      <c r="K66" s="14" t="str">
        <f t="shared" si="17"/>
        <v>Twitter for iPhone</v>
      </c>
      <c r="L66" s="13">
        <v>65</v>
      </c>
      <c r="M66" s="13">
        <v>298</v>
      </c>
      <c r="N66" s="13">
        <v>0</v>
      </c>
      <c r="O66" s="15"/>
      <c r="P66" s="6">
        <v>43390.144745370373</v>
      </c>
      <c r="Q66" s="12"/>
      <c r="R66" s="17" t="s">
        <v>411</v>
      </c>
      <c r="S66" s="12"/>
      <c r="T66" s="12"/>
      <c r="U66" s="10" t="str">
        <f>HYPERLINK("https://pbs.twimg.com/profile_images/1052531078370607104/hHEibiQ2.jpg","View")</f>
        <v>View</v>
      </c>
    </row>
    <row r="67" spans="1:21" ht="30.6">
      <c r="A67" s="6">
        <v>43427.554085648153</v>
      </c>
      <c r="B67" s="7" t="str">
        <f>HYPERLINK("https://twitter.com/AlbyFernandezCs","@AlbyFernandezCs")</f>
        <v>@AlbyFernandezCs</v>
      </c>
      <c r="C67" s="8" t="s">
        <v>281</v>
      </c>
      <c r="D67" s="9" t="s">
        <v>282</v>
      </c>
      <c r="E67" s="10" t="str">
        <f>HYPERLINK("https://twitter.com/AlbyFernandezCs/status/1065942510529388544","1065942510529388544")</f>
        <v>1065942510529388544</v>
      </c>
      <c r="F67" s="12"/>
      <c r="G67" s="11" t="s">
        <v>283</v>
      </c>
      <c r="H67" s="12"/>
      <c r="I67" s="13">
        <v>45</v>
      </c>
      <c r="J67" s="13">
        <v>27</v>
      </c>
      <c r="K67" s="14" t="str">
        <f>HYPERLINK("http://twitter.com/download/android","Twitter for Android")</f>
        <v>Twitter for Android</v>
      </c>
      <c r="L67" s="13">
        <v>2073</v>
      </c>
      <c r="M67" s="13">
        <v>1575</v>
      </c>
      <c r="N67" s="13">
        <v>39</v>
      </c>
      <c r="O67" s="15"/>
      <c r="P67" s="6">
        <v>42400.506886574076</v>
      </c>
      <c r="Q67" s="16" t="s">
        <v>284</v>
      </c>
      <c r="R67" s="17" t="s">
        <v>285</v>
      </c>
      <c r="S67" s="11" t="s">
        <v>286</v>
      </c>
      <c r="T67" s="12"/>
      <c r="U67" s="10" t="str">
        <f>HYPERLINK("https://pbs.twimg.com/profile_images/908224622574936064/6cRz7_v3.jpg","View")</f>
        <v>View</v>
      </c>
    </row>
    <row r="68" spans="1:21" ht="51">
      <c r="A68" s="6">
        <v>43427.552245370374</v>
      </c>
      <c r="B68" s="7" t="str">
        <f>HYPERLINK("https://twitter.com/Conde_Duque","@Conde_Duque")</f>
        <v>@Conde_Duque</v>
      </c>
      <c r="C68" s="8" t="s">
        <v>287</v>
      </c>
      <c r="D68" s="9" t="s">
        <v>288</v>
      </c>
      <c r="E68" s="10" t="str">
        <f>HYPERLINK("https://twitter.com/Conde_Duque/status/1065941845522505729","1065941845522505729")</f>
        <v>1065941845522505729</v>
      </c>
      <c r="F68" s="16" t="s">
        <v>289</v>
      </c>
      <c r="G68" s="12"/>
      <c r="H68" s="12"/>
      <c r="I68" s="13">
        <v>0</v>
      </c>
      <c r="J68" s="13">
        <v>0</v>
      </c>
      <c r="K68" s="14" t="str">
        <f>HYPERLINK("http://twitter.com/#!/download/ipad","Twitter for iPad")</f>
        <v>Twitter for iPad</v>
      </c>
      <c r="L68" s="13">
        <v>1379</v>
      </c>
      <c r="M68" s="13">
        <v>2411</v>
      </c>
      <c r="N68" s="13">
        <v>37</v>
      </c>
      <c r="O68" s="15"/>
      <c r="P68" s="6">
        <v>40017.274270833332</v>
      </c>
      <c r="Q68" s="16" t="s">
        <v>291</v>
      </c>
      <c r="R68" s="17" t="s">
        <v>292</v>
      </c>
      <c r="S68" s="12"/>
      <c r="T68" s="12"/>
      <c r="U68" s="10" t="str">
        <f>HYPERLINK("https://pbs.twimg.com/profile_images/327670567/IMG00225-20090612-1848.jpg","View")</f>
        <v>View</v>
      </c>
    </row>
    <row r="69" spans="1:21" ht="20.399999999999999">
      <c r="A69" s="6">
        <v>43427.550439814819</v>
      </c>
      <c r="B69" s="7" t="str">
        <f>HYPERLINK("https://twitter.com/galarufus","@galarufus")</f>
        <v>@galarufus</v>
      </c>
      <c r="C69" s="8" t="s">
        <v>425</v>
      </c>
      <c r="D69" s="9" t="s">
        <v>426</v>
      </c>
      <c r="E69" s="10" t="str">
        <f>HYPERLINK("https://twitter.com/galarufus/status/1065941189604581376","1065941189604581376")</f>
        <v>1065941189604581376</v>
      </c>
      <c r="F69" s="12"/>
      <c r="G69" s="11" t="s">
        <v>429</v>
      </c>
      <c r="H69" s="12"/>
      <c r="I69" s="13">
        <v>0</v>
      </c>
      <c r="J69" s="13">
        <v>0</v>
      </c>
      <c r="K69" s="14" t="str">
        <f>HYPERLINK("http://twitter.com/download/android","Twitter for Android")</f>
        <v>Twitter for Android</v>
      </c>
      <c r="L69" s="13">
        <v>1212</v>
      </c>
      <c r="M69" s="13">
        <v>2373</v>
      </c>
      <c r="N69" s="13">
        <v>10</v>
      </c>
      <c r="O69" s="15"/>
      <c r="P69" s="6">
        <v>42992.856736111113</v>
      </c>
      <c r="Q69" s="16" t="s">
        <v>432</v>
      </c>
      <c r="R69" s="17" t="s">
        <v>433</v>
      </c>
      <c r="S69" s="12"/>
      <c r="T69" s="12"/>
      <c r="U69" s="10" t="str">
        <f>HYPERLINK("https://pbs.twimg.com/profile_images/920744797077475331/4kKoj8aA.jpg","View")</f>
        <v>View</v>
      </c>
    </row>
    <row r="70" spans="1:21" ht="51">
      <c r="A70" s="6">
        <v>43427.549675925926</v>
      </c>
      <c r="B70" s="7" t="str">
        <f>HYPERLINK("https://twitter.com/JcsBaleares","@JcsBaleares")</f>
        <v>@JcsBaleares</v>
      </c>
      <c r="C70" s="8" t="s">
        <v>293</v>
      </c>
      <c r="D70" s="9" t="s">
        <v>294</v>
      </c>
      <c r="E70" s="10" t="str">
        <f>HYPERLINK("https://twitter.com/JcsBaleares/status/1065940914651185152","1065940914651185152")</f>
        <v>1065940914651185152</v>
      </c>
      <c r="F70" s="12"/>
      <c r="G70" s="11" t="s">
        <v>295</v>
      </c>
      <c r="H70" s="12"/>
      <c r="I70" s="13">
        <v>15</v>
      </c>
      <c r="J70" s="13">
        <v>9</v>
      </c>
      <c r="K70" s="14" t="str">
        <f>HYPERLINK("http://twitter.com","Twitter Web Client")</f>
        <v>Twitter Web Client</v>
      </c>
      <c r="L70" s="13">
        <v>497</v>
      </c>
      <c r="M70" s="13">
        <v>403</v>
      </c>
      <c r="N70" s="13">
        <v>5</v>
      </c>
      <c r="O70" s="15"/>
      <c r="P70" s="6">
        <v>42747.303796296299</v>
      </c>
      <c r="Q70" s="16" t="s">
        <v>296</v>
      </c>
      <c r="R70" s="17" t="s">
        <v>297</v>
      </c>
      <c r="S70" s="11" t="s">
        <v>298</v>
      </c>
      <c r="T70" s="12"/>
      <c r="U70" s="10" t="str">
        <f>HYPERLINK("https://pbs.twimg.com/profile_images/1053528114410733568/peA-yQjf.jpg","View")</f>
        <v>View</v>
      </c>
    </row>
    <row r="71" spans="1:21" ht="40.799999999999997">
      <c r="A71" s="6">
        <v>43427.549363425926</v>
      </c>
      <c r="B71" s="7" t="str">
        <f>HYPERLINK("https://twitter.com/Eratolyre","@Eratolyre")</f>
        <v>@Eratolyre</v>
      </c>
      <c r="C71" s="8" t="s">
        <v>443</v>
      </c>
      <c r="D71" s="9" t="s">
        <v>444</v>
      </c>
      <c r="E71" s="10" t="str">
        <f>HYPERLINK("https://twitter.com/Eratolyre/status/1065940800209588225","1065940800209588225")</f>
        <v>1065940800209588225</v>
      </c>
      <c r="F71" s="16" t="s">
        <v>445</v>
      </c>
      <c r="G71" s="12"/>
      <c r="H71" s="12"/>
      <c r="I71" s="13">
        <v>0</v>
      </c>
      <c r="J71" s="13">
        <v>0</v>
      </c>
      <c r="K71" s="14" t="str">
        <f>HYPERLINK("http://twitter.com/download/android","Twitter for Android")</f>
        <v>Twitter for Android</v>
      </c>
      <c r="L71" s="13">
        <v>221</v>
      </c>
      <c r="M71" s="13">
        <v>734</v>
      </c>
      <c r="N71" s="13">
        <v>5</v>
      </c>
      <c r="O71" s="15"/>
      <c r="P71" s="6">
        <v>42916.638287037036</v>
      </c>
      <c r="Q71" s="16" t="s">
        <v>448</v>
      </c>
      <c r="R71" s="17" t="s">
        <v>449</v>
      </c>
      <c r="S71" s="12"/>
      <c r="T71" s="12"/>
      <c r="U71" s="10" t="str">
        <f>HYPERLINK("https://pbs.twimg.com/profile_images/880780890435182593/sps_UfWQ.jpg","View")</f>
        <v>View</v>
      </c>
    </row>
    <row r="72" spans="1:21" ht="40.799999999999997">
      <c r="A72" s="6">
        <v>43427.549143518518</v>
      </c>
      <c r="B72" s="7" t="str">
        <f>HYPERLINK("https://twitter.com/migupelo2","@migupelo2")</f>
        <v>@migupelo2</v>
      </c>
      <c r="C72" s="8" t="s">
        <v>29</v>
      </c>
      <c r="D72" s="9" t="s">
        <v>299</v>
      </c>
      <c r="E72" s="10" t="str">
        <f>HYPERLINK("https://twitter.com/migupelo2/status/1065940721230843912","1065940721230843912")</f>
        <v>1065940721230843912</v>
      </c>
      <c r="F72" s="11" t="s">
        <v>300</v>
      </c>
      <c r="G72" s="12"/>
      <c r="H72" s="12"/>
      <c r="I72" s="13">
        <v>0</v>
      </c>
      <c r="J72" s="13">
        <v>0</v>
      </c>
      <c r="K72" s="14" t="str">
        <f>HYPERLINK("http://twitter.com","Twitter Web Client")</f>
        <v>Twitter Web Client</v>
      </c>
      <c r="L72" s="13">
        <v>264</v>
      </c>
      <c r="M72" s="13">
        <v>760</v>
      </c>
      <c r="N72" s="13">
        <v>18</v>
      </c>
      <c r="O72" s="15"/>
      <c r="P72" s="6">
        <v>40477.868043981478</v>
      </c>
      <c r="Q72" s="12"/>
      <c r="R72" s="17" t="s">
        <v>32</v>
      </c>
      <c r="S72" s="12"/>
      <c r="T72" s="12"/>
      <c r="U72" s="10" t="str">
        <f>HYPERLINK("https://pbs.twimg.com/profile_images/2906316440/4ed1570f50fd6f70f1b28d458997dd81.jpeg","View")</f>
        <v>View</v>
      </c>
    </row>
    <row r="73" spans="1:21" ht="61.2">
      <c r="A73" s="6">
        <v>43427.548726851848</v>
      </c>
      <c r="B73" s="7" t="str">
        <f t="shared" ref="B73:B74" si="18">HYPERLINK("https://twitter.com/antigilis","@antigilis")</f>
        <v>@antigilis</v>
      </c>
      <c r="C73" s="8" t="s">
        <v>301</v>
      </c>
      <c r="D73" s="9" t="s">
        <v>302</v>
      </c>
      <c r="E73" s="10" t="str">
        <f>HYPERLINK("https://twitter.com/antigilis/status/1065940568147140609","1065940568147140609")</f>
        <v>1065940568147140609</v>
      </c>
      <c r="F73" s="12"/>
      <c r="G73" s="11" t="s">
        <v>303</v>
      </c>
      <c r="H73" s="12"/>
      <c r="I73" s="13">
        <v>11</v>
      </c>
      <c r="J73" s="13">
        <v>8</v>
      </c>
      <c r="K73" s="14" t="str">
        <f t="shared" ref="K73:K74" si="19">HYPERLINK("https://www.hootsuite.com","Hootsuite Inc.")</f>
        <v>Hootsuite Inc.</v>
      </c>
      <c r="L73" s="13">
        <v>2162</v>
      </c>
      <c r="M73" s="13">
        <v>3255</v>
      </c>
      <c r="N73" s="13">
        <v>7</v>
      </c>
      <c r="O73" s="15"/>
      <c r="P73" s="6">
        <v>42785.648877314816</v>
      </c>
      <c r="Q73" s="16" t="s">
        <v>304</v>
      </c>
      <c r="R73" s="17" t="s">
        <v>305</v>
      </c>
      <c r="S73" s="12"/>
      <c r="T73" s="12"/>
      <c r="U73" s="10" t="str">
        <f t="shared" ref="U73:U74" si="20">HYPERLINK("https://pbs.twimg.com/profile_images/1064154576352350209/oVr7S2uX.jpg","View")</f>
        <v>View</v>
      </c>
    </row>
    <row r="74" spans="1:21" ht="51">
      <c r="A74" s="6">
        <v>43427.548726851848</v>
      </c>
      <c r="B74" s="7" t="str">
        <f t="shared" si="18"/>
        <v>@antigilis</v>
      </c>
      <c r="C74" s="8" t="s">
        <v>301</v>
      </c>
      <c r="D74" s="9" t="s">
        <v>306</v>
      </c>
      <c r="E74" s="10" t="str">
        <f>HYPERLINK("https://twitter.com/antigilis/status/1065940567882747907","1065940567882747907")</f>
        <v>1065940567882747907</v>
      </c>
      <c r="F74" s="12"/>
      <c r="G74" s="11" t="s">
        <v>307</v>
      </c>
      <c r="H74" s="12"/>
      <c r="I74" s="13">
        <v>15</v>
      </c>
      <c r="J74" s="13">
        <v>9</v>
      </c>
      <c r="K74" s="14" t="str">
        <f t="shared" si="19"/>
        <v>Hootsuite Inc.</v>
      </c>
      <c r="L74" s="13">
        <v>2162</v>
      </c>
      <c r="M74" s="13">
        <v>3255</v>
      </c>
      <c r="N74" s="13">
        <v>7</v>
      </c>
      <c r="O74" s="15"/>
      <c r="P74" s="6">
        <v>42785.648877314816</v>
      </c>
      <c r="Q74" s="16" t="s">
        <v>304</v>
      </c>
      <c r="R74" s="17" t="s">
        <v>305</v>
      </c>
      <c r="S74" s="12"/>
      <c r="T74" s="12"/>
      <c r="U74" s="10" t="str">
        <f t="shared" si="20"/>
        <v>View</v>
      </c>
    </row>
    <row r="75" spans="1:21" ht="81.599999999999994">
      <c r="A75" s="6">
        <v>43427.547997685186</v>
      </c>
      <c r="B75" s="7" t="str">
        <f>HYPERLINK("https://twitter.com/Alexcc73","@Alexcc73")</f>
        <v>@Alexcc73</v>
      </c>
      <c r="C75" s="8" t="s">
        <v>308</v>
      </c>
      <c r="D75" s="9" t="s">
        <v>309</v>
      </c>
      <c r="E75" s="10" t="str">
        <f>HYPERLINK("https://twitter.com/Alexcc73/status/1065940303675342848","1065940303675342848")</f>
        <v>1065940303675342848</v>
      </c>
      <c r="F75" s="11" t="s">
        <v>46</v>
      </c>
      <c r="G75" s="11" t="s">
        <v>47</v>
      </c>
      <c r="H75" s="12"/>
      <c r="I75" s="13">
        <v>0</v>
      </c>
      <c r="J75" s="13">
        <v>1</v>
      </c>
      <c r="K75" s="14" t="str">
        <f>HYPERLINK("http://twitter.com/download/android","Twitter for Android")</f>
        <v>Twitter for Android</v>
      </c>
      <c r="L75" s="13">
        <v>91</v>
      </c>
      <c r="M75" s="13">
        <v>660</v>
      </c>
      <c r="N75" s="13">
        <v>1</v>
      </c>
      <c r="O75" s="15"/>
      <c r="P75" s="6">
        <v>40368.30877314815</v>
      </c>
      <c r="Q75" s="16" t="s">
        <v>310</v>
      </c>
      <c r="R75" s="19"/>
      <c r="S75" s="12"/>
      <c r="T75" s="12"/>
      <c r="U75" s="10" t="str">
        <f>HYPERLINK("https://pbs.twimg.com/profile_images/832176643766616065/oOptucMD.jpg","View")</f>
        <v>View</v>
      </c>
    </row>
    <row r="76" spans="1:21" ht="51">
      <c r="A76" s="6">
        <v>43427.541944444441</v>
      </c>
      <c r="B76" s="7" t="str">
        <f t="shared" ref="B76:B78" si="21">HYPERLINK("https://twitter.com/PCamorrista","@PCamorrista")</f>
        <v>@PCamorrista</v>
      </c>
      <c r="C76" s="8" t="s">
        <v>311</v>
      </c>
      <c r="D76" s="9" t="s">
        <v>312</v>
      </c>
      <c r="E76" s="10" t="str">
        <f>HYPERLINK("https://twitter.com/PCamorrista/status/1065938111614648320","1065938111614648320")</f>
        <v>1065938111614648320</v>
      </c>
      <c r="F76" s="11" t="s">
        <v>313</v>
      </c>
      <c r="G76" s="12"/>
      <c r="H76" s="12"/>
      <c r="I76" s="13">
        <v>19</v>
      </c>
      <c r="J76" s="13">
        <v>14</v>
      </c>
      <c r="K76" s="14" t="str">
        <f t="shared" ref="K76:K78" si="22">HYPERLINK("https://www.hootsuite.com","Hootsuite Inc.")</f>
        <v>Hootsuite Inc.</v>
      </c>
      <c r="L76" s="13">
        <v>1953</v>
      </c>
      <c r="M76" s="13">
        <v>1977</v>
      </c>
      <c r="N76" s="13">
        <v>10</v>
      </c>
      <c r="O76" s="15"/>
      <c r="P76" s="6">
        <v>43114.384884259256</v>
      </c>
      <c r="Q76" s="16" t="s">
        <v>37</v>
      </c>
      <c r="R76" s="17" t="s">
        <v>314</v>
      </c>
      <c r="S76" s="11" t="s">
        <v>315</v>
      </c>
      <c r="T76" s="12"/>
      <c r="U76" s="10" t="str">
        <f t="shared" ref="U76:U78" si="23">HYPERLINK("https://pbs.twimg.com/profile_images/952459031083397120/u6DBThkF.jpg","View")</f>
        <v>View</v>
      </c>
    </row>
    <row r="77" spans="1:21" ht="40.799999999999997">
      <c r="A77" s="6">
        <v>43427.541932870372</v>
      </c>
      <c r="B77" s="7" t="str">
        <f t="shared" si="21"/>
        <v>@PCamorrista</v>
      </c>
      <c r="C77" s="8" t="s">
        <v>311</v>
      </c>
      <c r="D77" s="9" t="s">
        <v>316</v>
      </c>
      <c r="E77" s="10" t="str">
        <f>HYPERLINK("https://twitter.com/PCamorrista/status/1065938107424489473","1065938107424489473")</f>
        <v>1065938107424489473</v>
      </c>
      <c r="F77" s="11" t="s">
        <v>317</v>
      </c>
      <c r="G77" s="12"/>
      <c r="H77" s="12"/>
      <c r="I77" s="13">
        <v>13</v>
      </c>
      <c r="J77" s="13">
        <v>10</v>
      </c>
      <c r="K77" s="14" t="str">
        <f t="shared" si="22"/>
        <v>Hootsuite Inc.</v>
      </c>
      <c r="L77" s="13">
        <v>1953</v>
      </c>
      <c r="M77" s="13">
        <v>1977</v>
      </c>
      <c r="N77" s="13">
        <v>10</v>
      </c>
      <c r="O77" s="15"/>
      <c r="P77" s="6">
        <v>43114.384884259256</v>
      </c>
      <c r="Q77" s="16" t="s">
        <v>37</v>
      </c>
      <c r="R77" s="17" t="s">
        <v>314</v>
      </c>
      <c r="S77" s="11" t="s">
        <v>315</v>
      </c>
      <c r="T77" s="12"/>
      <c r="U77" s="10" t="str">
        <f t="shared" si="23"/>
        <v>View</v>
      </c>
    </row>
    <row r="78" spans="1:21" ht="40.799999999999997">
      <c r="A78" s="6">
        <v>43427.541909722218</v>
      </c>
      <c r="B78" s="7" t="str">
        <f t="shared" si="21"/>
        <v>@PCamorrista</v>
      </c>
      <c r="C78" s="8" t="s">
        <v>311</v>
      </c>
      <c r="D78" s="9" t="s">
        <v>318</v>
      </c>
      <c r="E78" s="10" t="str">
        <f>HYPERLINK("https://twitter.com/PCamorrista/status/1065938096729063425","1065938096729063425")</f>
        <v>1065938096729063425</v>
      </c>
      <c r="F78" s="11" t="s">
        <v>319</v>
      </c>
      <c r="G78" s="12"/>
      <c r="H78" s="12"/>
      <c r="I78" s="13">
        <v>6</v>
      </c>
      <c r="J78" s="13">
        <v>4</v>
      </c>
      <c r="K78" s="14" t="str">
        <f t="shared" si="22"/>
        <v>Hootsuite Inc.</v>
      </c>
      <c r="L78" s="13">
        <v>1953</v>
      </c>
      <c r="M78" s="13">
        <v>1977</v>
      </c>
      <c r="N78" s="13">
        <v>10</v>
      </c>
      <c r="O78" s="15"/>
      <c r="P78" s="6">
        <v>43114.384884259256</v>
      </c>
      <c r="Q78" s="16" t="s">
        <v>37</v>
      </c>
      <c r="R78" s="17" t="s">
        <v>314</v>
      </c>
      <c r="S78" s="11" t="s">
        <v>315</v>
      </c>
      <c r="T78" s="12"/>
      <c r="U78" s="10" t="str">
        <f t="shared" si="23"/>
        <v>View</v>
      </c>
    </row>
    <row r="79" spans="1:21" ht="51">
      <c r="A79" s="6">
        <v>43427.541770833333</v>
      </c>
      <c r="B79" s="7" t="str">
        <f>HYPERLINK("https://twitter.com/CsCantabria","@CsCantabria")</f>
        <v>@CsCantabria</v>
      </c>
      <c r="C79" s="8" t="s">
        <v>320</v>
      </c>
      <c r="D79" s="9" t="s">
        <v>321</v>
      </c>
      <c r="E79" s="10" t="str">
        <f>HYPERLINK("https://twitter.com/CsCantabria/status/1065938050096816128","1065938050096816128")</f>
        <v>1065938050096816128</v>
      </c>
      <c r="F79" s="12"/>
      <c r="G79" s="11" t="s">
        <v>322</v>
      </c>
      <c r="H79" s="12"/>
      <c r="I79" s="13">
        <v>21</v>
      </c>
      <c r="J79" s="13">
        <v>15</v>
      </c>
      <c r="K79" s="14" t="str">
        <f>HYPERLINK("https://studio.twitter.com","Media Studio")</f>
        <v>Media Studio</v>
      </c>
      <c r="L79" s="13">
        <v>3554</v>
      </c>
      <c r="M79" s="13">
        <v>328</v>
      </c>
      <c r="N79" s="13">
        <v>92</v>
      </c>
      <c r="O79" s="18" t="s">
        <v>36</v>
      </c>
      <c r="P79" s="6">
        <v>41731.566608796296</v>
      </c>
      <c r="Q79" s="16" t="s">
        <v>323</v>
      </c>
      <c r="R79" s="17" t="s">
        <v>324</v>
      </c>
      <c r="S79" s="11" t="s">
        <v>325</v>
      </c>
      <c r="T79" s="12"/>
      <c r="U79" s="10" t="str">
        <f>HYPERLINK("https://pbs.twimg.com/profile_images/1053571729455529984/zfGYdPdw.jpg","View")</f>
        <v>View</v>
      </c>
    </row>
    <row r="80" spans="1:21" ht="71.400000000000006">
      <c r="A80" s="6">
        <v>43427.538263888884</v>
      </c>
      <c r="B80" s="7" t="str">
        <f>HYPERLINK("https://twitter.com/ChabelaBarreiro","@ChabelaBarreiro")</f>
        <v>@ChabelaBarreiro</v>
      </c>
      <c r="C80" s="8" t="s">
        <v>326</v>
      </c>
      <c r="D80" s="9" t="s">
        <v>327</v>
      </c>
      <c r="E80" s="10" t="str">
        <f>HYPERLINK("https://twitter.com/ChabelaBarreiro/status/1065936777989496832","1065936777989496832")</f>
        <v>1065936777989496832</v>
      </c>
      <c r="F80" s="16" t="s">
        <v>328</v>
      </c>
      <c r="G80" s="12"/>
      <c r="H80" s="12"/>
      <c r="I80" s="13">
        <v>0</v>
      </c>
      <c r="J80" s="13">
        <v>2</v>
      </c>
      <c r="K80" s="14" t="str">
        <f>HYPERLINK("http://twitter.com/download/android","Twitter for Android")</f>
        <v>Twitter for Android</v>
      </c>
      <c r="L80" s="13">
        <v>983</v>
      </c>
      <c r="M80" s="13">
        <v>1930</v>
      </c>
      <c r="N80" s="13">
        <v>4</v>
      </c>
      <c r="O80" s="15"/>
      <c r="P80" s="6">
        <v>40997.869699074072</v>
      </c>
      <c r="Q80" s="16" t="s">
        <v>331</v>
      </c>
      <c r="R80" s="17" t="s">
        <v>332</v>
      </c>
      <c r="S80" s="12"/>
      <c r="T80" s="12"/>
      <c r="U80" s="10" t="str">
        <f>HYPERLINK("https://pbs.twimg.com/profile_images/473119946835505153/UjGXag1c.png","View")</f>
        <v>View</v>
      </c>
    </row>
    <row r="81" spans="1:21" ht="40.799999999999997">
      <c r="A81" s="6">
        <v>43427.537372685183</v>
      </c>
      <c r="B81" s="7" t="str">
        <f>HYPERLINK("https://twitter.com/migupelo2","@migupelo2")</f>
        <v>@migupelo2</v>
      </c>
      <c r="C81" s="8" t="s">
        <v>29</v>
      </c>
      <c r="D81" s="9" t="s">
        <v>334</v>
      </c>
      <c r="E81" s="10" t="str">
        <f>HYPERLINK("https://twitter.com/migupelo2/status/1065936452519960576","1065936452519960576")</f>
        <v>1065936452519960576</v>
      </c>
      <c r="F81" s="11" t="s">
        <v>335</v>
      </c>
      <c r="G81" s="12"/>
      <c r="H81" s="12"/>
      <c r="I81" s="13">
        <v>0</v>
      </c>
      <c r="J81" s="13">
        <v>0</v>
      </c>
      <c r="K81" s="14" t="str">
        <f t="shared" ref="K81:K82" si="24">HYPERLINK("http://twitter.com","Twitter Web Client")</f>
        <v>Twitter Web Client</v>
      </c>
      <c r="L81" s="13">
        <v>264</v>
      </c>
      <c r="M81" s="13">
        <v>760</v>
      </c>
      <c r="N81" s="13">
        <v>18</v>
      </c>
      <c r="O81" s="15"/>
      <c r="P81" s="6">
        <v>40477.868043981478</v>
      </c>
      <c r="Q81" s="12"/>
      <c r="R81" s="17" t="s">
        <v>32</v>
      </c>
      <c r="S81" s="12"/>
      <c r="T81" s="12"/>
      <c r="U81" s="10" t="str">
        <f>HYPERLINK("https://pbs.twimg.com/profile_images/2906316440/4ed1570f50fd6f70f1b28d458997dd81.jpeg","View")</f>
        <v>View</v>
      </c>
    </row>
    <row r="82" spans="1:21" ht="51">
      <c r="A82" s="6">
        <v>43427.537048611106</v>
      </c>
      <c r="B82" s="7" t="str">
        <f>HYPERLINK("https://twitter.com/Cs_Tenerife","@Cs_Tenerife")</f>
        <v>@Cs_Tenerife</v>
      </c>
      <c r="C82" s="8" t="s">
        <v>342</v>
      </c>
      <c r="D82" s="9" t="s">
        <v>343</v>
      </c>
      <c r="E82" s="10" t="str">
        <f>HYPERLINK("https://twitter.com/Cs_Tenerife/status/1065936336291602432","1065936336291602432")</f>
        <v>1065936336291602432</v>
      </c>
      <c r="F82" s="12"/>
      <c r="G82" s="11" t="s">
        <v>344</v>
      </c>
      <c r="H82" s="12"/>
      <c r="I82" s="13">
        <v>1</v>
      </c>
      <c r="J82" s="13">
        <v>1</v>
      </c>
      <c r="K82" s="14" t="str">
        <f t="shared" si="24"/>
        <v>Twitter Web Client</v>
      </c>
      <c r="L82" s="13">
        <v>308</v>
      </c>
      <c r="M82" s="13">
        <v>409</v>
      </c>
      <c r="N82" s="13">
        <v>2</v>
      </c>
      <c r="O82" s="15"/>
      <c r="P82" s="6">
        <v>43006.477256944447</v>
      </c>
      <c r="Q82" s="16" t="s">
        <v>208</v>
      </c>
      <c r="R82" s="17" t="s">
        <v>345</v>
      </c>
      <c r="S82" s="11" t="s">
        <v>346</v>
      </c>
      <c r="T82" s="12"/>
      <c r="U82" s="10" t="str">
        <f>HYPERLINK("https://pbs.twimg.com/profile_images/913334716803186688/AFUK2T9e.jpg","View")</f>
        <v>View</v>
      </c>
    </row>
    <row r="83" spans="1:21" ht="20.399999999999999">
      <c r="A83" s="6">
        <v>43427.535370370373</v>
      </c>
      <c r="B83" s="7" t="str">
        <f>HYPERLINK("https://twitter.com/TaniaCrespo3","@TaniaCrespo3")</f>
        <v>@TaniaCrespo3</v>
      </c>
      <c r="C83" s="8" t="s">
        <v>492</v>
      </c>
      <c r="D83" s="9" t="s">
        <v>493</v>
      </c>
      <c r="E83" s="10" t="str">
        <f>HYPERLINK("https://twitter.com/TaniaCrespo3/status/1065935727840698368","1065935727840698368")</f>
        <v>1065935727840698368</v>
      </c>
      <c r="F83" s="11" t="s">
        <v>495</v>
      </c>
      <c r="G83" s="12"/>
      <c r="H83" s="12"/>
      <c r="I83" s="13">
        <v>1</v>
      </c>
      <c r="J83" s="13">
        <v>1</v>
      </c>
      <c r="K83" s="14" t="str">
        <f>HYPERLINK("http://twitter.com/download/android","Twitter for Android")</f>
        <v>Twitter for Android</v>
      </c>
      <c r="L83" s="13">
        <v>862</v>
      </c>
      <c r="M83" s="13">
        <v>1624</v>
      </c>
      <c r="N83" s="13">
        <v>1</v>
      </c>
      <c r="O83" s="15"/>
      <c r="P83" s="6">
        <v>43257.829548611116</v>
      </c>
      <c r="Q83" s="16" t="s">
        <v>499</v>
      </c>
      <c r="R83" s="17" t="s">
        <v>500</v>
      </c>
      <c r="S83" s="12"/>
      <c r="T83" s="12"/>
      <c r="U83" s="10" t="str">
        <f>HYPERLINK("https://pbs.twimg.com/profile_images/1004426598471340033/zL90kJim.jpg","View")</f>
        <v>View</v>
      </c>
    </row>
    <row r="84" spans="1:21" ht="51">
      <c r="A84" s="6">
        <v>43427.533993055556</v>
      </c>
      <c r="B84" s="7" t="str">
        <f>HYPERLINK("https://twitter.com/Miguel_H_C","@Miguel_H_C")</f>
        <v>@Miguel_H_C</v>
      </c>
      <c r="C84" s="8" t="s">
        <v>347</v>
      </c>
      <c r="D84" s="9" t="s">
        <v>348</v>
      </c>
      <c r="E84" s="10" t="str">
        <f>HYPERLINK("https://twitter.com/Miguel_H_C/status/1065935231084040192","1065935231084040192")</f>
        <v>1065935231084040192</v>
      </c>
      <c r="F84" s="12"/>
      <c r="G84" s="12"/>
      <c r="H84" s="12"/>
      <c r="I84" s="13">
        <v>0</v>
      </c>
      <c r="J84" s="13">
        <v>0</v>
      </c>
      <c r="K84" s="14" t="str">
        <f t="shared" ref="K84:K85" si="25">HYPERLINK("http://twitter.com","Twitter Web Client")</f>
        <v>Twitter Web Client</v>
      </c>
      <c r="L84" s="13">
        <v>826</v>
      </c>
      <c r="M84" s="13">
        <v>349</v>
      </c>
      <c r="N84" s="13">
        <v>8</v>
      </c>
      <c r="O84" s="15"/>
      <c r="P84" s="6">
        <v>40816.839016203703</v>
      </c>
      <c r="Q84" s="16" t="s">
        <v>351</v>
      </c>
      <c r="R84" s="19"/>
      <c r="S84" s="12"/>
      <c r="T84" s="12"/>
      <c r="U84" s="10" t="str">
        <f>HYPERLINK("https://pbs.twimg.com/profile_images/997011182736302081/6PYtWK2Y.jpg","View")</f>
        <v>View</v>
      </c>
    </row>
    <row r="85" spans="1:21" ht="40.799999999999997">
      <c r="A85" s="6">
        <v>43427.53361111111</v>
      </c>
      <c r="B85" s="7" t="str">
        <f>HYPERLINK("https://twitter.com/ManuelRabalo","@ManuelRabalo")</f>
        <v>@ManuelRabalo</v>
      </c>
      <c r="C85" s="8" t="s">
        <v>355</v>
      </c>
      <c r="D85" s="9" t="s">
        <v>357</v>
      </c>
      <c r="E85" s="10" t="str">
        <f>HYPERLINK("https://twitter.com/ManuelRabalo/status/1065935090411290625","1065935090411290625")</f>
        <v>1065935090411290625</v>
      </c>
      <c r="F85" s="12"/>
      <c r="G85" s="12"/>
      <c r="H85" s="12"/>
      <c r="I85" s="13">
        <v>0</v>
      </c>
      <c r="J85" s="13">
        <v>0</v>
      </c>
      <c r="K85" s="14" t="str">
        <f t="shared" si="25"/>
        <v>Twitter Web Client</v>
      </c>
      <c r="L85" s="13">
        <v>89</v>
      </c>
      <c r="M85" s="13">
        <v>244</v>
      </c>
      <c r="N85" s="13">
        <v>1</v>
      </c>
      <c r="O85" s="15"/>
      <c r="P85" s="6">
        <v>43275.730682870373</v>
      </c>
      <c r="Q85" s="16" t="s">
        <v>98</v>
      </c>
      <c r="R85" s="17" t="s">
        <v>358</v>
      </c>
      <c r="S85" s="12"/>
      <c r="T85" s="12"/>
      <c r="U85" s="10" t="str">
        <f>HYPERLINK("https://pbs.twimg.com/profile_images/1022851489696571392/OhNAzHSy.jpg","View")</f>
        <v>View</v>
      </c>
    </row>
    <row r="86" spans="1:21" ht="81.599999999999994">
      <c r="A86" s="6">
        <v>43427.533287037033</v>
      </c>
      <c r="B86" s="7" t="str">
        <f>HYPERLINK("https://twitter.com/hispalis55","@hispalis55")</f>
        <v>@hispalis55</v>
      </c>
      <c r="C86" s="8" t="s">
        <v>362</v>
      </c>
      <c r="D86" s="9" t="s">
        <v>363</v>
      </c>
      <c r="E86" s="10" t="str">
        <f>HYPERLINK("https://twitter.com/hispalis55/status/1065934972253597696","1065934972253597696")</f>
        <v>1065934972253597696</v>
      </c>
      <c r="F86" s="11" t="s">
        <v>364</v>
      </c>
      <c r="G86" s="12"/>
      <c r="H86" s="12"/>
      <c r="I86" s="13">
        <v>0</v>
      </c>
      <c r="J86" s="13">
        <v>1</v>
      </c>
      <c r="K86" s="14" t="str">
        <f>HYPERLINK("http://twitter.com/download/iphone","Twitter for iPhone")</f>
        <v>Twitter for iPhone</v>
      </c>
      <c r="L86" s="13">
        <v>174</v>
      </c>
      <c r="M86" s="13">
        <v>399</v>
      </c>
      <c r="N86" s="13">
        <v>7</v>
      </c>
      <c r="O86" s="15"/>
      <c r="P86" s="6">
        <v>40601.888865740737</v>
      </c>
      <c r="Q86" s="16" t="s">
        <v>366</v>
      </c>
      <c r="R86" s="17" t="s">
        <v>367</v>
      </c>
      <c r="S86" s="12"/>
      <c r="T86" s="12"/>
      <c r="U86" s="10" t="str">
        <f>HYPERLINK("https://pbs.twimg.com/profile_images/2586825699/image.jpg","View")</f>
        <v>View</v>
      </c>
    </row>
    <row r="87" spans="1:21" ht="13.2">
      <c r="A87" s="6">
        <v>43427.531909722224</v>
      </c>
      <c r="B87" s="7" t="str">
        <f>HYPERLINK("https://twitter.com/Churrimancer","@Churrimancer")</f>
        <v>@Churrimancer</v>
      </c>
      <c r="C87" s="8" t="s">
        <v>515</v>
      </c>
      <c r="D87" s="9" t="s">
        <v>516</v>
      </c>
      <c r="E87" s="10" t="str">
        <f>HYPERLINK("https://twitter.com/Churrimancer/status/1065934473882214400","1065934473882214400")</f>
        <v>1065934473882214400</v>
      </c>
      <c r="F87" s="12"/>
      <c r="G87" s="12"/>
      <c r="H87" s="12"/>
      <c r="I87" s="13">
        <v>0</v>
      </c>
      <c r="J87" s="13">
        <v>0</v>
      </c>
      <c r="K87" s="14" t="str">
        <f t="shared" ref="K87:K90" si="26">HYPERLINK("http://twitter.com/download/android","Twitter for Android")</f>
        <v>Twitter for Android</v>
      </c>
      <c r="L87" s="13">
        <v>53</v>
      </c>
      <c r="M87" s="13">
        <v>74</v>
      </c>
      <c r="N87" s="13">
        <v>0</v>
      </c>
      <c r="O87" s="15"/>
      <c r="P87" s="6">
        <v>43311.197847222225</v>
      </c>
      <c r="Q87" s="16" t="s">
        <v>520</v>
      </c>
      <c r="R87" s="17" t="s">
        <v>521</v>
      </c>
      <c r="S87" s="11" t="s">
        <v>522</v>
      </c>
      <c r="T87" s="12"/>
      <c r="U87" s="10" t="str">
        <f>HYPERLINK("https://pbs.twimg.com/profile_images/1065224883104374784/WK-Gmz_D.jpg","View")</f>
        <v>View</v>
      </c>
    </row>
    <row r="88" spans="1:21" ht="51">
      <c r="A88" s="6">
        <v>43427.529467592598</v>
      </c>
      <c r="B88" s="7" t="str">
        <f>HYPERLINK("https://twitter.com/juluniver","@juluniver")</f>
        <v>@juluniver</v>
      </c>
      <c r="C88" s="8" t="s">
        <v>368</v>
      </c>
      <c r="D88" s="9" t="s">
        <v>369</v>
      </c>
      <c r="E88" s="10" t="str">
        <f>HYPERLINK("https://twitter.com/juluniver/status/1065933589739696129","1065933589739696129")</f>
        <v>1065933589739696129</v>
      </c>
      <c r="F88" s="11" t="s">
        <v>370</v>
      </c>
      <c r="G88" s="12"/>
      <c r="H88" s="12"/>
      <c r="I88" s="13">
        <v>0</v>
      </c>
      <c r="J88" s="13">
        <v>0</v>
      </c>
      <c r="K88" s="14" t="str">
        <f t="shared" si="26"/>
        <v>Twitter for Android</v>
      </c>
      <c r="L88" s="13">
        <v>143</v>
      </c>
      <c r="M88" s="13">
        <v>91</v>
      </c>
      <c r="N88" s="13">
        <v>2</v>
      </c>
      <c r="O88" s="15"/>
      <c r="P88" s="6">
        <v>42166.543541666666</v>
      </c>
      <c r="Q88" s="16" t="s">
        <v>371</v>
      </c>
      <c r="R88" s="17" t="s">
        <v>372</v>
      </c>
      <c r="S88" s="12"/>
      <c r="T88" s="12"/>
      <c r="U88" s="10" t="str">
        <f>HYPERLINK("https://pbs.twimg.com/profile_images/847880241892777992/Krxx7fp-.jpg","View")</f>
        <v>View</v>
      </c>
    </row>
    <row r="89" spans="1:21" ht="40.799999999999997">
      <c r="A89" s="6">
        <v>43427.528761574074</v>
      </c>
      <c r="B89" s="7" t="str">
        <f>HYPERLINK("https://twitter.com/AurorisB","@AurorisB")</f>
        <v>@AurorisB</v>
      </c>
      <c r="C89" s="8" t="s">
        <v>526</v>
      </c>
      <c r="D89" s="9" t="s">
        <v>527</v>
      </c>
      <c r="E89" s="10" t="str">
        <f>HYPERLINK("https://twitter.com/AurorisB/status/1065933333404811265","1065933333404811265")</f>
        <v>1065933333404811265</v>
      </c>
      <c r="F89" s="12"/>
      <c r="G89" s="12"/>
      <c r="H89" s="12"/>
      <c r="I89" s="13">
        <v>0</v>
      </c>
      <c r="J89" s="13">
        <v>0</v>
      </c>
      <c r="K89" s="14" t="str">
        <f t="shared" si="26"/>
        <v>Twitter for Android</v>
      </c>
      <c r="L89" s="13">
        <v>393</v>
      </c>
      <c r="M89" s="13">
        <v>317</v>
      </c>
      <c r="N89" s="13">
        <v>3</v>
      </c>
      <c r="O89" s="15"/>
      <c r="P89" s="6">
        <v>41030.791018518517</v>
      </c>
      <c r="Q89" s="16" t="s">
        <v>529</v>
      </c>
      <c r="R89" s="17" t="s">
        <v>530</v>
      </c>
      <c r="S89" s="12"/>
      <c r="T89" s="12"/>
      <c r="U89" s="10" t="str">
        <f>HYPERLINK("https://pbs.twimg.com/profile_images/1056192307446382592/9oEy806M.jpg","View")</f>
        <v>View</v>
      </c>
    </row>
    <row r="90" spans="1:21" ht="51">
      <c r="A90" s="6">
        <v>43427.525208333333</v>
      </c>
      <c r="B90" s="7" t="str">
        <f>HYPERLINK("https://twitter.com/alexmar_gz","@alexmar_gz")</f>
        <v>@alexmar_gz</v>
      </c>
      <c r="C90" s="8" t="s">
        <v>534</v>
      </c>
      <c r="D90" s="9" t="s">
        <v>535</v>
      </c>
      <c r="E90" s="10" t="str">
        <f>HYPERLINK("https://twitter.com/alexmar_gz/status/1065932045854171137","1065932045854171137")</f>
        <v>1065932045854171137</v>
      </c>
      <c r="F90" s="12"/>
      <c r="G90" s="12"/>
      <c r="H90" s="12"/>
      <c r="I90" s="13">
        <v>0</v>
      </c>
      <c r="J90" s="13">
        <v>0</v>
      </c>
      <c r="K90" s="14" t="str">
        <f t="shared" si="26"/>
        <v>Twitter for Android</v>
      </c>
      <c r="L90" s="13">
        <v>119</v>
      </c>
      <c r="M90" s="13">
        <v>501</v>
      </c>
      <c r="N90" s="13">
        <v>0</v>
      </c>
      <c r="O90" s="15"/>
      <c r="P90" s="6">
        <v>42420.525694444441</v>
      </c>
      <c r="Q90" s="16" t="s">
        <v>538</v>
      </c>
      <c r="R90" s="17" t="s">
        <v>539</v>
      </c>
      <c r="S90" s="12"/>
      <c r="T90" s="12"/>
      <c r="U90" s="10" t="str">
        <f>HYPERLINK("https://pbs.twimg.com/profile_images/701020696605024256/7QeTXqsC.jpg","View")</f>
        <v>View</v>
      </c>
    </row>
    <row r="91" spans="1:21" ht="40.799999999999997">
      <c r="A91" s="6">
        <v>43427.52516203704</v>
      </c>
      <c r="B91" s="7" t="str">
        <f>HYPERLINK("https://twitter.com/ecd_","@ecd_")</f>
        <v>@ecd_</v>
      </c>
      <c r="C91" s="8" t="s">
        <v>542</v>
      </c>
      <c r="D91" s="9" t="s">
        <v>543</v>
      </c>
      <c r="E91" s="10" t="str">
        <f>HYPERLINK("https://twitter.com/ecd_/status/1065932030054187008","1065932030054187008")</f>
        <v>1065932030054187008</v>
      </c>
      <c r="F91" s="11" t="s">
        <v>545</v>
      </c>
      <c r="G91" s="12"/>
      <c r="H91" s="12"/>
      <c r="I91" s="13">
        <v>0</v>
      </c>
      <c r="J91" s="13">
        <v>0</v>
      </c>
      <c r="K91" s="14" t="str">
        <f>HYPERLINK("http://dogtrack.es","DogTrack_Oficial")</f>
        <v>DogTrack_Oficial</v>
      </c>
      <c r="L91" s="13">
        <v>88323</v>
      </c>
      <c r="M91" s="13">
        <v>362</v>
      </c>
      <c r="N91" s="13">
        <v>2646</v>
      </c>
      <c r="O91" s="15"/>
      <c r="P91" s="6">
        <v>39931.730115740742</v>
      </c>
      <c r="Q91" s="25" t="s">
        <v>548</v>
      </c>
      <c r="R91" s="17" t="s">
        <v>550</v>
      </c>
      <c r="S91" s="11" t="s">
        <v>551</v>
      </c>
      <c r="T91" s="12"/>
      <c r="U91" s="10" t="str">
        <f>HYPERLINK("https://pbs.twimg.com/profile_images/720595850238554113/Y8DGFyzZ.jpg","View")</f>
        <v>View</v>
      </c>
    </row>
    <row r="92" spans="1:21" ht="20.399999999999999">
      <c r="A92" s="6">
        <v>43427.524131944447</v>
      </c>
      <c r="B92" s="7" t="str">
        <f>HYPERLINK("https://twitter.com/M_SalcedoA","@M_SalcedoA")</f>
        <v>@M_SalcedoA</v>
      </c>
      <c r="C92" s="8" t="s">
        <v>555</v>
      </c>
      <c r="D92" s="9" t="s">
        <v>556</v>
      </c>
      <c r="E92" s="10" t="str">
        <f>HYPERLINK("https://twitter.com/M_SalcedoA/status/1065931654823321600","1065931654823321600")</f>
        <v>1065931654823321600</v>
      </c>
      <c r="F92" s="11" t="s">
        <v>557</v>
      </c>
      <c r="G92" s="12"/>
      <c r="H92" s="12"/>
      <c r="I92" s="13">
        <v>0</v>
      </c>
      <c r="J92" s="13">
        <v>0</v>
      </c>
      <c r="K92" s="14" t="str">
        <f>HYPERLINK("http://twitter.com","Twitter Web Client")</f>
        <v>Twitter Web Client</v>
      </c>
      <c r="L92" s="13">
        <v>61</v>
      </c>
      <c r="M92" s="13">
        <v>414</v>
      </c>
      <c r="N92" s="13">
        <v>0</v>
      </c>
      <c r="O92" s="15"/>
      <c r="P92" s="6">
        <v>41036.79142361111</v>
      </c>
      <c r="Q92" s="12"/>
      <c r="R92" s="19"/>
      <c r="S92" s="12"/>
      <c r="T92" s="12"/>
      <c r="U92" s="18" t="s">
        <v>559</v>
      </c>
    </row>
    <row r="93" spans="1:21" ht="40.799999999999997">
      <c r="A93" s="6">
        <v>43427.521886574075</v>
      </c>
      <c r="B93" s="7" t="str">
        <f>HYPERLINK("https://twitter.com/PacoDeFrancisco","@PacoDeFrancisco")</f>
        <v>@PacoDeFrancisco</v>
      </c>
      <c r="C93" s="8" t="s">
        <v>375</v>
      </c>
      <c r="D93" s="9" t="s">
        <v>376</v>
      </c>
      <c r="E93" s="10" t="str">
        <f>HYPERLINK("https://twitter.com/PacoDeFrancisco/status/1065930843879804928","1065930843879804928")</f>
        <v>1065930843879804928</v>
      </c>
      <c r="F93" s="12"/>
      <c r="G93" s="11" t="s">
        <v>377</v>
      </c>
      <c r="H93" s="12"/>
      <c r="I93" s="13">
        <v>0</v>
      </c>
      <c r="J93" s="13">
        <v>0</v>
      </c>
      <c r="K93" s="14" t="str">
        <f>HYPERLINK("http://twitter.com/download/android","Twitter for Android")</f>
        <v>Twitter for Android</v>
      </c>
      <c r="L93" s="13">
        <v>215</v>
      </c>
      <c r="M93" s="13">
        <v>241</v>
      </c>
      <c r="N93" s="13">
        <v>9</v>
      </c>
      <c r="O93" s="15"/>
      <c r="P93" s="6">
        <v>41681.545393518521</v>
      </c>
      <c r="Q93" s="12"/>
      <c r="R93" s="17" t="s">
        <v>378</v>
      </c>
      <c r="S93" s="12"/>
      <c r="T93" s="12"/>
      <c r="U93" s="10" t="str">
        <f>HYPERLINK("https://pbs.twimg.com/profile_images/770328019395342339/gZFGHWCk.jpg","View")</f>
        <v>View</v>
      </c>
    </row>
    <row r="94" spans="1:21" ht="51">
      <c r="A94" s="6">
        <v>43427.521006944444</v>
      </c>
      <c r="B94" s="7" t="str">
        <f>HYPERLINK("https://twitter.com/AhoraCantabria","@AhoraCantabria")</f>
        <v>@AhoraCantabria</v>
      </c>
      <c r="C94" s="8" t="s">
        <v>379</v>
      </c>
      <c r="D94" s="9" t="s">
        <v>380</v>
      </c>
      <c r="E94" s="10" t="str">
        <f>HYPERLINK("https://twitter.com/AhoraCantabria/status/1065930522814279680","1065930522814279680")</f>
        <v>1065930522814279680</v>
      </c>
      <c r="F94" s="12"/>
      <c r="G94" s="11" t="s">
        <v>381</v>
      </c>
      <c r="H94" s="12"/>
      <c r="I94" s="13">
        <v>0</v>
      </c>
      <c r="J94" s="13">
        <v>0</v>
      </c>
      <c r="K94" s="14" t="str">
        <f>HYPERLINK("https://buffer.com","Buffer")</f>
        <v>Buffer</v>
      </c>
      <c r="L94" s="13">
        <v>8579</v>
      </c>
      <c r="M94" s="13">
        <v>1430</v>
      </c>
      <c r="N94" s="13">
        <v>135</v>
      </c>
      <c r="O94" s="15"/>
      <c r="P94" s="6">
        <v>41200.829687500001</v>
      </c>
      <c r="Q94" s="16" t="s">
        <v>383</v>
      </c>
      <c r="R94" s="17" t="s">
        <v>384</v>
      </c>
      <c r="S94" s="11" t="s">
        <v>385</v>
      </c>
      <c r="T94" s="12"/>
      <c r="U94" s="10" t="str">
        <f>HYPERLINK("https://pbs.twimg.com/profile_images/978940959617617922/UqYGk2Wc.jpg","View")</f>
        <v>View</v>
      </c>
    </row>
    <row r="95" spans="1:21" ht="30.6">
      <c r="A95" s="6">
        <v>43427.520277777774</v>
      </c>
      <c r="B95" s="7" t="str">
        <f>HYPERLINK("https://twitter.com/Kirt__","@Kirt__")</f>
        <v>@Kirt__</v>
      </c>
      <c r="C95" s="8" t="s">
        <v>566</v>
      </c>
      <c r="D95" s="9" t="s">
        <v>567</v>
      </c>
      <c r="E95" s="10" t="str">
        <f>HYPERLINK("https://twitter.com/Kirt__/status/1065930257751056384","1065930257751056384")</f>
        <v>1065930257751056384</v>
      </c>
      <c r="F95" s="12"/>
      <c r="G95" s="12"/>
      <c r="H95" s="12"/>
      <c r="I95" s="13">
        <v>0</v>
      </c>
      <c r="J95" s="13">
        <v>2</v>
      </c>
      <c r="K95" s="14" t="str">
        <f t="shared" ref="K95:K97" si="27">HYPERLINK("http://twitter.com","Twitter Web Client")</f>
        <v>Twitter Web Client</v>
      </c>
      <c r="L95" s="13">
        <v>114</v>
      </c>
      <c r="M95" s="13">
        <v>102</v>
      </c>
      <c r="N95" s="13">
        <v>1</v>
      </c>
      <c r="O95" s="15"/>
      <c r="P95" s="6">
        <v>42821.059432870374</v>
      </c>
      <c r="Q95" s="16" t="s">
        <v>572</v>
      </c>
      <c r="R95" s="17" t="s">
        <v>573</v>
      </c>
      <c r="S95" s="12"/>
      <c r="T95" s="12"/>
      <c r="U95" s="10" t="str">
        <f>HYPERLINK("https://pbs.twimg.com/profile_images/1040341495088394240/xv-WRLwY.jpg","View")</f>
        <v>View</v>
      </c>
    </row>
    <row r="96" spans="1:21" ht="30.6">
      <c r="A96" s="6">
        <v>43427.519432870366</v>
      </c>
      <c r="B96" s="7" t="str">
        <f>HYPERLINK("https://twitter.com/PilarGarciaFlo1","@PilarGarciaFlo1")</f>
        <v>@PilarGarciaFlo1</v>
      </c>
      <c r="C96" s="8" t="s">
        <v>576</v>
      </c>
      <c r="D96" s="9" t="s">
        <v>577</v>
      </c>
      <c r="E96" s="10" t="str">
        <f>HYPERLINK("https://twitter.com/PilarGarciaFlo1/status/1065929951168335873","1065929951168335873")</f>
        <v>1065929951168335873</v>
      </c>
      <c r="F96" s="11" t="s">
        <v>579</v>
      </c>
      <c r="G96" s="12"/>
      <c r="H96" s="12"/>
      <c r="I96" s="13">
        <v>2</v>
      </c>
      <c r="J96" s="13">
        <v>2</v>
      </c>
      <c r="K96" s="14" t="str">
        <f t="shared" si="27"/>
        <v>Twitter Web Client</v>
      </c>
      <c r="L96" s="13">
        <v>612</v>
      </c>
      <c r="M96" s="13">
        <v>1198</v>
      </c>
      <c r="N96" s="13">
        <v>16</v>
      </c>
      <c r="O96" s="15"/>
      <c r="P96" s="6">
        <v>42177.954282407409</v>
      </c>
      <c r="Q96" s="16" t="s">
        <v>580</v>
      </c>
      <c r="R96" s="17" t="s">
        <v>581</v>
      </c>
      <c r="S96" s="12"/>
      <c r="T96" s="12"/>
      <c r="U96" s="10" t="str">
        <f>HYPERLINK("https://pbs.twimg.com/profile_images/972954476154847238/reJ63J8g.jpg","View")</f>
        <v>View</v>
      </c>
    </row>
    <row r="97" spans="1:21" ht="20.399999999999999">
      <c r="A97" s="6">
        <v>43427.510868055557</v>
      </c>
      <c r="B97" s="7" t="str">
        <f>HYPERLINK("https://twitter.com/berliskaZenovka","@berliskaZenovka")</f>
        <v>@berliskaZenovka</v>
      </c>
      <c r="C97" s="8" t="s">
        <v>387</v>
      </c>
      <c r="D97" s="9" t="s">
        <v>388</v>
      </c>
      <c r="E97" s="10" t="str">
        <f>HYPERLINK("https://twitter.com/berliskaZenovka/status/1065926847265943552","1065926847265943552")</f>
        <v>1065926847265943552</v>
      </c>
      <c r="F97" s="12"/>
      <c r="G97" s="12"/>
      <c r="H97" s="12"/>
      <c r="I97" s="13">
        <v>0</v>
      </c>
      <c r="J97" s="13">
        <v>0</v>
      </c>
      <c r="K97" s="14" t="str">
        <f t="shared" si="27"/>
        <v>Twitter Web Client</v>
      </c>
      <c r="L97" s="13">
        <v>107</v>
      </c>
      <c r="M97" s="13">
        <v>370</v>
      </c>
      <c r="N97" s="13">
        <v>1</v>
      </c>
      <c r="O97" s="15"/>
      <c r="P97" s="6">
        <v>40941.528368055559</v>
      </c>
      <c r="Q97" s="16" t="s">
        <v>391</v>
      </c>
      <c r="R97" s="17" t="s">
        <v>392</v>
      </c>
      <c r="S97" s="12"/>
      <c r="T97" s="12"/>
      <c r="U97" s="10" t="str">
        <f>HYPERLINK("https://pbs.twimg.com/profile_images/989482782421409792/Go4OoZzx.jpg","View")</f>
        <v>View</v>
      </c>
    </row>
    <row r="98" spans="1:21" ht="40.799999999999997">
      <c r="A98" s="6">
        <v>43427.510254629626</v>
      </c>
      <c r="B98" s="7" t="str">
        <f>HYPERLINK("https://twitter.com/bluishwhirlwind","@bluishwhirlwind")</f>
        <v>@bluishwhirlwind</v>
      </c>
      <c r="C98" s="8" t="s">
        <v>590</v>
      </c>
      <c r="D98" s="9" t="s">
        <v>591</v>
      </c>
      <c r="E98" s="10" t="str">
        <f>HYPERLINK("https://twitter.com/bluishwhirlwind/status/1065926625945100288","1065926625945100288")</f>
        <v>1065926625945100288</v>
      </c>
      <c r="F98" s="12"/>
      <c r="G98" s="11" t="s">
        <v>595</v>
      </c>
      <c r="H98" s="12"/>
      <c r="I98" s="13">
        <v>0</v>
      </c>
      <c r="J98" s="13">
        <v>2</v>
      </c>
      <c r="K98" s="14" t="str">
        <f>HYPERLINK("http://twitter.com/download/android","Twitter for Android")</f>
        <v>Twitter for Android</v>
      </c>
      <c r="L98" s="13">
        <v>278</v>
      </c>
      <c r="M98" s="13">
        <v>553</v>
      </c>
      <c r="N98" s="13">
        <v>5</v>
      </c>
      <c r="O98" s="15"/>
      <c r="P98" s="6">
        <v>42619.46130787037</v>
      </c>
      <c r="Q98" s="16" t="s">
        <v>207</v>
      </c>
      <c r="R98" s="17" t="s">
        <v>596</v>
      </c>
      <c r="S98" s="12"/>
      <c r="T98" s="12"/>
      <c r="U98" s="10" t="str">
        <f>HYPERLINK("https://pbs.twimg.com/profile_images/966997101795266560/AVpmlz76.jpg","View")</f>
        <v>View</v>
      </c>
    </row>
    <row r="99" spans="1:21" ht="51">
      <c r="A99" s="6">
        <v>43427.50513888889</v>
      </c>
      <c r="B99" s="7" t="str">
        <f>HYPERLINK("https://twitter.com/TheWomanOfRed","@TheWomanOfRed")</f>
        <v>@TheWomanOfRed</v>
      </c>
      <c r="C99" s="8" t="s">
        <v>395</v>
      </c>
      <c r="D99" s="9" t="s">
        <v>396</v>
      </c>
      <c r="E99" s="10" t="str">
        <f>HYPERLINK("https://twitter.com/TheWomanOfRed/status/1065924773207777280","1065924773207777280")</f>
        <v>1065924773207777280</v>
      </c>
      <c r="F99" s="12"/>
      <c r="G99" s="12"/>
      <c r="H99" s="12"/>
      <c r="I99" s="13">
        <v>0</v>
      </c>
      <c r="J99" s="13">
        <v>0</v>
      </c>
      <c r="K99" s="14" t="str">
        <f>HYPERLINK("http://twitter.com/download/iphone","Twitter for iPhone")</f>
        <v>Twitter for iPhone</v>
      </c>
      <c r="L99" s="13">
        <v>104</v>
      </c>
      <c r="M99" s="13">
        <v>46</v>
      </c>
      <c r="N99" s="13">
        <v>0</v>
      </c>
      <c r="O99" s="15"/>
      <c r="P99" s="6">
        <v>43131.748402777783</v>
      </c>
      <c r="Q99" s="12"/>
      <c r="R99" s="17" t="s">
        <v>399</v>
      </c>
      <c r="S99" s="12"/>
      <c r="T99" s="12"/>
      <c r="U99" s="10" t="str">
        <f>HYPERLINK("https://pbs.twimg.com/profile_images/958753932632879105/5_6gP9I8.jpg","View")</f>
        <v>View</v>
      </c>
    </row>
    <row r="100" spans="1:21" ht="61.2">
      <c r="A100" s="6">
        <v>43427.504513888889</v>
      </c>
      <c r="B100" s="7" t="str">
        <f>HYPERLINK("https://twitter.com/Mmutfilo1","@Mmutfilo1")</f>
        <v>@Mmutfilo1</v>
      </c>
      <c r="C100" s="8" t="s">
        <v>402</v>
      </c>
      <c r="D100" s="9" t="s">
        <v>404</v>
      </c>
      <c r="E100" s="10" t="str">
        <f>HYPERLINK("https://twitter.com/Mmutfilo1/status/1065924548502138881","1065924548502138881")</f>
        <v>1065924548502138881</v>
      </c>
      <c r="F100" s="11" t="s">
        <v>405</v>
      </c>
      <c r="G100" s="11" t="s">
        <v>406</v>
      </c>
      <c r="H100" s="12"/>
      <c r="I100" s="13">
        <v>21</v>
      </c>
      <c r="J100" s="13">
        <v>24</v>
      </c>
      <c r="K100" s="14" t="str">
        <f t="shared" ref="K100:K101" si="28">HYPERLINK("http://twitter.com/download/android","Twitter for Android")</f>
        <v>Twitter for Android</v>
      </c>
      <c r="L100" s="13">
        <v>334</v>
      </c>
      <c r="M100" s="13">
        <v>1603</v>
      </c>
      <c r="N100" s="13">
        <v>1</v>
      </c>
      <c r="O100" s="15"/>
      <c r="P100" s="6">
        <v>43131.933437500003</v>
      </c>
      <c r="Q100" s="16" t="s">
        <v>189</v>
      </c>
      <c r="R100" s="17" t="s">
        <v>409</v>
      </c>
      <c r="S100" s="12"/>
      <c r="T100" s="12"/>
      <c r="U100" s="10" t="str">
        <f>HYPERLINK("https://pbs.twimg.com/profile_images/961591826049306624/TUv8rl2_.jpg","View")</f>
        <v>View</v>
      </c>
    </row>
    <row r="101" spans="1:21" ht="102">
      <c r="A101" s="6">
        <v>43427.503020833334</v>
      </c>
      <c r="B101" s="7" t="str">
        <f>HYPERLINK("https://twitter.com/maximors45","@maximors45")</f>
        <v>@maximors45</v>
      </c>
      <c r="C101" s="8" t="s">
        <v>412</v>
      </c>
      <c r="D101" s="9" t="s">
        <v>413</v>
      </c>
      <c r="E101" s="10" t="str">
        <f>HYPERLINK("https://twitter.com/maximors45/status/1065924007625666561","1065924007625666561")</f>
        <v>1065924007625666561</v>
      </c>
      <c r="F101" s="11" t="s">
        <v>414</v>
      </c>
      <c r="G101" s="11" t="s">
        <v>415</v>
      </c>
      <c r="H101" s="12"/>
      <c r="I101" s="13">
        <v>0</v>
      </c>
      <c r="J101" s="13">
        <v>0</v>
      </c>
      <c r="K101" s="14" t="str">
        <f t="shared" si="28"/>
        <v>Twitter for Android</v>
      </c>
      <c r="L101" s="13">
        <v>7321</v>
      </c>
      <c r="M101" s="13">
        <v>6287</v>
      </c>
      <c r="N101" s="13">
        <v>212</v>
      </c>
      <c r="O101" s="15"/>
      <c r="P101" s="6">
        <v>41713.777592592596</v>
      </c>
      <c r="Q101" s="16" t="s">
        <v>416</v>
      </c>
      <c r="R101" s="17" t="s">
        <v>417</v>
      </c>
      <c r="S101" s="12"/>
      <c r="T101" s="12"/>
      <c r="U101" s="10" t="str">
        <f>HYPERLINK("https://pbs.twimg.com/profile_images/1063386537101012998/36434Wof.jpg","View")</f>
        <v>View</v>
      </c>
    </row>
    <row r="102" spans="1:21" ht="40.799999999999997">
      <c r="A102" s="6">
        <v>43427.499131944445</v>
      </c>
      <c r="B102" s="7" t="str">
        <f>HYPERLINK("https://twitter.com/roshanikra","@roshanikra")</f>
        <v>@roshanikra</v>
      </c>
      <c r="C102" s="8" t="s">
        <v>613</v>
      </c>
      <c r="D102" s="9" t="s">
        <v>614</v>
      </c>
      <c r="E102" s="10" t="str">
        <f>HYPERLINK("https://twitter.com/roshanikra/status/1065922594963144704","1065922594963144704")</f>
        <v>1065922594963144704</v>
      </c>
      <c r="F102" s="11" t="s">
        <v>616</v>
      </c>
      <c r="G102" s="12"/>
      <c r="H102" s="12"/>
      <c r="I102" s="13">
        <v>0</v>
      </c>
      <c r="J102" s="13">
        <v>0</v>
      </c>
      <c r="K102" s="14" t="str">
        <f>HYPERLINK("http://twitter.com/download/iphone","Twitter for iPhone")</f>
        <v>Twitter for iPhone</v>
      </c>
      <c r="L102" s="13">
        <v>111</v>
      </c>
      <c r="M102" s="13">
        <v>240</v>
      </c>
      <c r="N102" s="13">
        <v>1</v>
      </c>
      <c r="O102" s="15"/>
      <c r="P102" s="6">
        <v>40582.627245370371</v>
      </c>
      <c r="Q102" s="16" t="s">
        <v>207</v>
      </c>
      <c r="R102" s="17" t="s">
        <v>618</v>
      </c>
      <c r="S102" s="11" t="s">
        <v>619</v>
      </c>
      <c r="T102" s="12"/>
      <c r="U102" s="10" t="str">
        <f>HYPERLINK("https://pbs.twimg.com/profile_images/3083921169/bfac9474ae1e38b6b1163b9f68dec056.jpeg","View")</f>
        <v>View</v>
      </c>
    </row>
    <row r="103" spans="1:21" ht="30.6">
      <c r="A103" s="6">
        <v>43427.499120370368</v>
      </c>
      <c r="B103" s="7" t="str">
        <f>HYPERLINK("https://twitter.com/fesmcugtaragon","@fesmcugtaragon")</f>
        <v>@fesmcugtaragon</v>
      </c>
      <c r="C103" s="8" t="s">
        <v>620</v>
      </c>
      <c r="D103" s="9" t="s">
        <v>621</v>
      </c>
      <c r="E103" s="10" t="str">
        <f>HYPERLINK("https://twitter.com/fesmcugtaragon/status/1065922592488505346","1065922592488505346")</f>
        <v>1065922592488505346</v>
      </c>
      <c r="F103" s="11" t="s">
        <v>616</v>
      </c>
      <c r="G103" s="12"/>
      <c r="H103" s="12"/>
      <c r="I103" s="13">
        <v>0</v>
      </c>
      <c r="J103" s="13">
        <v>0</v>
      </c>
      <c r="K103" s="14" t="str">
        <f>HYPERLINK("http://twitter.com","Twitter Web Client")</f>
        <v>Twitter Web Client</v>
      </c>
      <c r="L103" s="13">
        <v>3188</v>
      </c>
      <c r="M103" s="13">
        <v>3769</v>
      </c>
      <c r="N103" s="13">
        <v>83</v>
      </c>
      <c r="O103" s="15"/>
      <c r="P103" s="6">
        <v>40133.579444444447</v>
      </c>
      <c r="Q103" s="16" t="s">
        <v>625</v>
      </c>
      <c r="R103" s="17" t="s">
        <v>626</v>
      </c>
      <c r="S103" s="11" t="s">
        <v>627</v>
      </c>
      <c r="T103" s="12"/>
      <c r="U103" s="10" t="str">
        <f>HYPERLINK("https://pbs.twimg.com/profile_images/740808612298166272/TMGFkDg8.jpg","View")</f>
        <v>View</v>
      </c>
    </row>
    <row r="104" spans="1:21" ht="20.399999999999999">
      <c r="A104" s="6">
        <v>43427.494895833333</v>
      </c>
      <c r="B104" s="7" t="str">
        <f>HYPERLINK("https://twitter.com/LeticiadelaFu12","@LeticiadelaFu12")</f>
        <v>@LeticiadelaFu12</v>
      </c>
      <c r="C104" s="8" t="s">
        <v>631</v>
      </c>
      <c r="D104" s="9" t="s">
        <v>632</v>
      </c>
      <c r="E104" s="10" t="str">
        <f>HYPERLINK("https://twitter.com/LeticiadelaFu12/status/1065921062016303105","1065921062016303105")</f>
        <v>1065921062016303105</v>
      </c>
      <c r="F104" s="11" t="s">
        <v>635</v>
      </c>
      <c r="G104" s="12"/>
      <c r="H104" s="12"/>
      <c r="I104" s="13">
        <v>0</v>
      </c>
      <c r="J104" s="13">
        <v>0</v>
      </c>
      <c r="K104" s="14" t="str">
        <f t="shared" ref="K104:K105" si="29">HYPERLINK("http://twitter.com/download/android","Twitter for Android")</f>
        <v>Twitter for Android</v>
      </c>
      <c r="L104" s="13">
        <v>184</v>
      </c>
      <c r="M104" s="13">
        <v>506</v>
      </c>
      <c r="N104" s="13">
        <v>0</v>
      </c>
      <c r="O104" s="15"/>
      <c r="P104" s="6">
        <v>43258.735023148147</v>
      </c>
      <c r="Q104" s="16" t="s">
        <v>638</v>
      </c>
      <c r="R104" s="19"/>
      <c r="S104" s="12"/>
      <c r="T104" s="12"/>
      <c r="U104" s="10" t="str">
        <f>HYPERLINK("https://pbs.twimg.com/profile_images/1043165960394420231/RZfkYPeJ.jpg","View")</f>
        <v>View</v>
      </c>
    </row>
    <row r="105" spans="1:21" ht="20.399999999999999">
      <c r="A105" s="6">
        <v>43427.494780092587</v>
      </c>
      <c r="B105" s="7" t="str">
        <f>HYPERLINK("https://twitter.com/Jugon_cc","@Jugon_cc")</f>
        <v>@Jugon_cc</v>
      </c>
      <c r="C105" s="8" t="s">
        <v>641</v>
      </c>
      <c r="D105" s="9" t="s">
        <v>642</v>
      </c>
      <c r="E105" s="10" t="str">
        <f>HYPERLINK("https://twitter.com/Jugon_cc/status/1065921020958248960","1065921020958248960")</f>
        <v>1065921020958248960</v>
      </c>
      <c r="F105" s="12"/>
      <c r="G105" s="12"/>
      <c r="H105" s="12"/>
      <c r="I105" s="13">
        <v>0</v>
      </c>
      <c r="J105" s="13">
        <v>0</v>
      </c>
      <c r="K105" s="14" t="str">
        <f t="shared" si="29"/>
        <v>Twitter for Android</v>
      </c>
      <c r="L105" s="13">
        <v>81</v>
      </c>
      <c r="M105" s="13">
        <v>270</v>
      </c>
      <c r="N105" s="13">
        <v>1</v>
      </c>
      <c r="O105" s="15"/>
      <c r="P105" s="6">
        <v>40318.959803240738</v>
      </c>
      <c r="Q105" s="12"/>
      <c r="R105" s="17" t="s">
        <v>643</v>
      </c>
      <c r="S105" s="12"/>
      <c r="T105" s="12"/>
      <c r="U105" s="10" t="str">
        <f>HYPERLINK("https://pbs.twimg.com/profile_images/903763899350175746/BqPjXmjn.jpg","View")</f>
        <v>View</v>
      </c>
    </row>
    <row r="106" spans="1:21" ht="40.799999999999997">
      <c r="A106" s="6">
        <v>43427.494618055556</v>
      </c>
      <c r="B106" s="7" t="str">
        <f>HYPERLINK("https://twitter.com/Capitan2piR","@Capitan2piR")</f>
        <v>@Capitan2piR</v>
      </c>
      <c r="C106" s="8" t="s">
        <v>644</v>
      </c>
      <c r="D106" s="9" t="s">
        <v>646</v>
      </c>
      <c r="E106" s="10" t="str">
        <f>HYPERLINK("https://twitter.com/Capitan2piR/status/1065920960774225920","1065920960774225920")</f>
        <v>1065920960774225920</v>
      </c>
      <c r="F106" s="11" t="s">
        <v>649</v>
      </c>
      <c r="G106" s="12"/>
      <c r="H106" s="12"/>
      <c r="I106" s="13">
        <v>0</v>
      </c>
      <c r="J106" s="13">
        <v>0</v>
      </c>
      <c r="K106" s="14" t="str">
        <f>HYPERLINK("http://www.facebook.com/twitter","Facebook")</f>
        <v>Facebook</v>
      </c>
      <c r="L106" s="13">
        <v>285</v>
      </c>
      <c r="M106" s="13">
        <v>568</v>
      </c>
      <c r="N106" s="13">
        <v>2</v>
      </c>
      <c r="O106" s="15"/>
      <c r="P106" s="6">
        <v>41650.954594907409</v>
      </c>
      <c r="Q106" s="16" t="s">
        <v>652</v>
      </c>
      <c r="R106" s="17" t="s">
        <v>653</v>
      </c>
      <c r="S106" s="12"/>
      <c r="T106" s="12"/>
      <c r="U106" s="10" t="str">
        <f>HYPERLINK("https://pbs.twimg.com/profile_images/939076760825729024/GWLrSvj5.jpg","View")</f>
        <v>View</v>
      </c>
    </row>
    <row r="107" spans="1:21" ht="40.799999999999997">
      <c r="A107" s="6">
        <v>43427.485879629632</v>
      </c>
      <c r="B107" s="7" t="str">
        <f>HYPERLINK("https://twitter.com/78GARBO","@78GARBO")</f>
        <v>@78GARBO</v>
      </c>
      <c r="C107" s="8" t="s">
        <v>418</v>
      </c>
      <c r="D107" s="9" t="s">
        <v>419</v>
      </c>
      <c r="E107" s="10" t="str">
        <f>HYPERLINK("https://twitter.com/78GARBO/status/1065917794317975553","1065917794317975553")</f>
        <v>1065917794317975553</v>
      </c>
      <c r="F107" s="12"/>
      <c r="G107" s="11" t="s">
        <v>420</v>
      </c>
      <c r="H107" s="12"/>
      <c r="I107" s="13">
        <v>1</v>
      </c>
      <c r="J107" s="13">
        <v>0</v>
      </c>
      <c r="K107" s="14" t="str">
        <f>HYPERLINK("http://twitter.com/download/android","Twitter for Android")</f>
        <v>Twitter for Android</v>
      </c>
      <c r="L107" s="13">
        <v>2081</v>
      </c>
      <c r="M107" s="13">
        <v>2176</v>
      </c>
      <c r="N107" s="13">
        <v>0</v>
      </c>
      <c r="O107" s="15"/>
      <c r="P107" s="6">
        <v>42789.732129629629</v>
      </c>
      <c r="Q107" s="16" t="s">
        <v>421</v>
      </c>
      <c r="R107" s="17" t="s">
        <v>422</v>
      </c>
      <c r="S107" s="12"/>
      <c r="T107" s="12"/>
      <c r="U107" s="10" t="str">
        <f>HYPERLINK("https://pbs.twimg.com/profile_images/1009192611280752641/OpDYz9Nj.jpg","View")</f>
        <v>View</v>
      </c>
    </row>
    <row r="108" spans="1:21" ht="71.400000000000006">
      <c r="A108" s="6">
        <v>43427.484803240739</v>
      </c>
      <c r="B108" s="7" t="str">
        <f>HYPERLINK("https://twitter.com/fodorlobson","@fodorlobson")</f>
        <v>@fodorlobson</v>
      </c>
      <c r="C108" s="8" t="s">
        <v>659</v>
      </c>
      <c r="D108" s="9" t="s">
        <v>660</v>
      </c>
      <c r="E108" s="10" t="str">
        <f>HYPERLINK("https://twitter.com/fodorlobson/status/1065917405103382529","1065917405103382529")</f>
        <v>1065917405103382529</v>
      </c>
      <c r="F108" s="11" t="s">
        <v>46</v>
      </c>
      <c r="G108" s="11" t="s">
        <v>47</v>
      </c>
      <c r="H108" s="12"/>
      <c r="I108" s="13">
        <v>0</v>
      </c>
      <c r="J108" s="13">
        <v>0</v>
      </c>
      <c r="K108" s="14" t="str">
        <f>HYPERLINK("http://twitter.com/download/iphone","Twitter for iPhone")</f>
        <v>Twitter for iPhone</v>
      </c>
      <c r="L108" s="13">
        <v>138</v>
      </c>
      <c r="M108" s="13">
        <v>254</v>
      </c>
      <c r="N108" s="13">
        <v>5</v>
      </c>
      <c r="O108" s="15"/>
      <c r="P108" s="6">
        <v>40455.667673611111</v>
      </c>
      <c r="Q108" s="16" t="s">
        <v>665</v>
      </c>
      <c r="R108" s="17" t="s">
        <v>666</v>
      </c>
      <c r="S108" s="12"/>
      <c r="T108" s="12"/>
      <c r="U108" s="10" t="str">
        <f>HYPERLINK("https://pbs.twimg.com/profile_images/923909910219419648/JRoB39-i.jpg","View")</f>
        <v>View</v>
      </c>
    </row>
    <row r="109" spans="1:21" ht="51">
      <c r="A109" s="6">
        <v>43427.483356481476</v>
      </c>
      <c r="B109" s="7" t="str">
        <f>HYPERLINK("https://twitter.com/JoseLopezBnitez","@JoseLopezBnitez")</f>
        <v>@JoseLopezBnitez</v>
      </c>
      <c r="C109" s="8" t="s">
        <v>423</v>
      </c>
      <c r="D109" s="9" t="s">
        <v>424</v>
      </c>
      <c r="E109" s="10" t="str">
        <f>HYPERLINK("https://twitter.com/JoseLopezBnitez/status/1065916879892635648","1065916879892635648")</f>
        <v>1065916879892635648</v>
      </c>
      <c r="F109" s="11" t="s">
        <v>352</v>
      </c>
      <c r="G109" s="11" t="s">
        <v>353</v>
      </c>
      <c r="H109" s="12"/>
      <c r="I109" s="13">
        <v>0</v>
      </c>
      <c r="J109" s="13">
        <v>2</v>
      </c>
      <c r="K109" s="14" t="str">
        <f>HYPERLINK("http://twitter.com/download/android","Twitter for Android")</f>
        <v>Twitter for Android</v>
      </c>
      <c r="L109" s="13">
        <v>584</v>
      </c>
      <c r="M109" s="13">
        <v>289</v>
      </c>
      <c r="N109" s="13">
        <v>4</v>
      </c>
      <c r="O109" s="15"/>
      <c r="P109" s="6">
        <v>40580.552048611113</v>
      </c>
      <c r="Q109" s="16" t="s">
        <v>427</v>
      </c>
      <c r="R109" s="17" t="s">
        <v>428</v>
      </c>
      <c r="S109" s="12"/>
      <c r="T109" s="12"/>
      <c r="U109" s="10" t="str">
        <f>HYPERLINK("https://pbs.twimg.com/profile_images/937949782357807104/zK4LRDlF.jpg","View")</f>
        <v>View</v>
      </c>
    </row>
    <row r="110" spans="1:21" ht="40.799999999999997">
      <c r="A110" s="6">
        <v>43427.47956018518</v>
      </c>
      <c r="B110" s="7" t="str">
        <f>HYPERLINK("https://twitter.com/Cs_Tenerife","@Cs_Tenerife")</f>
        <v>@Cs_Tenerife</v>
      </c>
      <c r="C110" s="8" t="s">
        <v>342</v>
      </c>
      <c r="D110" s="9" t="s">
        <v>672</v>
      </c>
      <c r="E110" s="10" t="str">
        <f>HYPERLINK("https://twitter.com/Cs_Tenerife/status/1065915505322704897","1065915505322704897")</f>
        <v>1065915505322704897</v>
      </c>
      <c r="F110" s="11" t="s">
        <v>674</v>
      </c>
      <c r="G110" s="12"/>
      <c r="H110" s="12"/>
      <c r="I110" s="13">
        <v>1</v>
      </c>
      <c r="J110" s="13">
        <v>2</v>
      </c>
      <c r="K110" s="14" t="str">
        <f>HYPERLINK("http://twitter.com","Twitter Web Client")</f>
        <v>Twitter Web Client</v>
      </c>
      <c r="L110" s="13">
        <v>308</v>
      </c>
      <c r="M110" s="13">
        <v>409</v>
      </c>
      <c r="N110" s="13">
        <v>2</v>
      </c>
      <c r="O110" s="15"/>
      <c r="P110" s="6">
        <v>43006.477256944447</v>
      </c>
      <c r="Q110" s="16" t="s">
        <v>208</v>
      </c>
      <c r="R110" s="17" t="s">
        <v>345</v>
      </c>
      <c r="S110" s="11" t="s">
        <v>346</v>
      </c>
      <c r="T110" s="12"/>
      <c r="U110" s="10" t="str">
        <f>HYPERLINK("https://pbs.twimg.com/profile_images/913334716803186688/AFUK2T9e.jpg","View")</f>
        <v>View</v>
      </c>
    </row>
    <row r="111" spans="1:21" ht="51">
      <c r="A111" s="6">
        <v>43427.479432870372</v>
      </c>
      <c r="B111" s="7" t="str">
        <f>HYPERLINK("https://twitter.com/AhoraCantabria","@AhoraCantabria")</f>
        <v>@AhoraCantabria</v>
      </c>
      <c r="C111" s="8" t="s">
        <v>379</v>
      </c>
      <c r="D111" s="9" t="s">
        <v>679</v>
      </c>
      <c r="E111" s="10" t="str">
        <f>HYPERLINK("https://twitter.com/AhoraCantabria/status/1065915455725031425","1065915455725031425")</f>
        <v>1065915455725031425</v>
      </c>
      <c r="F111" s="12"/>
      <c r="G111" s="11" t="s">
        <v>681</v>
      </c>
      <c r="H111" s="12"/>
      <c r="I111" s="13">
        <v>0</v>
      </c>
      <c r="J111" s="13">
        <v>0</v>
      </c>
      <c r="K111" s="14" t="str">
        <f>HYPERLINK("https://buffer.com","Buffer")</f>
        <v>Buffer</v>
      </c>
      <c r="L111" s="13">
        <v>8579</v>
      </c>
      <c r="M111" s="13">
        <v>1430</v>
      </c>
      <c r="N111" s="13">
        <v>135</v>
      </c>
      <c r="O111" s="15"/>
      <c r="P111" s="6">
        <v>41200.829687500001</v>
      </c>
      <c r="Q111" s="16" t="s">
        <v>383</v>
      </c>
      <c r="R111" s="17" t="s">
        <v>384</v>
      </c>
      <c r="S111" s="11" t="s">
        <v>385</v>
      </c>
      <c r="T111" s="12"/>
      <c r="U111" s="10" t="str">
        <f>HYPERLINK("https://pbs.twimg.com/profile_images/978940959617617922/UqYGk2Wc.jpg","View")</f>
        <v>View</v>
      </c>
    </row>
    <row r="112" spans="1:21" ht="81.599999999999994">
      <c r="A112" s="6">
        <v>43427.477662037039</v>
      </c>
      <c r="B112" s="7" t="str">
        <f>HYPERLINK("https://twitter.com/LekaconK","@LekaconK")</f>
        <v>@LekaconK</v>
      </c>
      <c r="C112" s="8" t="s">
        <v>430</v>
      </c>
      <c r="D112" s="9" t="s">
        <v>431</v>
      </c>
      <c r="E112" s="10" t="str">
        <f>HYPERLINK("https://twitter.com/LekaconK/status/1065914816135614464","1065914816135614464")</f>
        <v>1065914816135614464</v>
      </c>
      <c r="F112" s="11" t="s">
        <v>46</v>
      </c>
      <c r="G112" s="11" t="s">
        <v>47</v>
      </c>
      <c r="H112" s="12"/>
      <c r="I112" s="13">
        <v>754</v>
      </c>
      <c r="J112" s="13">
        <v>1140</v>
      </c>
      <c r="K112" s="14" t="str">
        <f t="shared" ref="K112:K113" si="30">HYPERLINK("http://twitter.com/download/android","Twitter for Android")</f>
        <v>Twitter for Android</v>
      </c>
      <c r="L112" s="13">
        <v>105346</v>
      </c>
      <c r="M112" s="13">
        <v>55234</v>
      </c>
      <c r="N112" s="13">
        <v>499</v>
      </c>
      <c r="O112" s="15"/>
      <c r="P112" s="6">
        <v>41651.585011574076</v>
      </c>
      <c r="Q112" s="16" t="s">
        <v>434</v>
      </c>
      <c r="R112" s="17" t="s">
        <v>435</v>
      </c>
      <c r="S112" s="11" t="s">
        <v>436</v>
      </c>
      <c r="T112" s="12"/>
      <c r="U112" s="10" t="str">
        <f>HYPERLINK("https://pbs.twimg.com/profile_images/978390509071880192/dagJv_P2.jpg","View")</f>
        <v>View</v>
      </c>
    </row>
    <row r="113" spans="1:21" ht="91.8">
      <c r="A113" s="6">
        <v>43427.474814814814</v>
      </c>
      <c r="B113" s="7" t="str">
        <f>HYPERLINK("https://twitter.com/RuthIliana46","@RuthIliana46")</f>
        <v>@RuthIliana46</v>
      </c>
      <c r="C113" s="8" t="s">
        <v>437</v>
      </c>
      <c r="D113" s="9" t="s">
        <v>438</v>
      </c>
      <c r="E113" s="10" t="str">
        <f>HYPERLINK("https://twitter.com/RuthIliana46/status/1065913782407438336","1065913782407438336")</f>
        <v>1065913782407438336</v>
      </c>
      <c r="F113" s="16" t="s">
        <v>439</v>
      </c>
      <c r="G113" s="12"/>
      <c r="H113" s="12"/>
      <c r="I113" s="13">
        <v>5</v>
      </c>
      <c r="J113" s="13">
        <v>6</v>
      </c>
      <c r="K113" s="14" t="str">
        <f t="shared" si="30"/>
        <v>Twitter for Android</v>
      </c>
      <c r="L113" s="13">
        <v>4287</v>
      </c>
      <c r="M113" s="13">
        <v>4178</v>
      </c>
      <c r="N113" s="13">
        <v>483</v>
      </c>
      <c r="O113" s="15"/>
      <c r="P113" s="6">
        <v>41235.80333333333</v>
      </c>
      <c r="Q113" s="16" t="s">
        <v>440</v>
      </c>
      <c r="R113" s="17" t="s">
        <v>441</v>
      </c>
      <c r="S113" s="11" t="s">
        <v>442</v>
      </c>
      <c r="T113" s="12"/>
      <c r="U113" s="10" t="str">
        <f>HYPERLINK("https://pbs.twimg.com/profile_images/976118533162721287/GaSph7A7.jpg","View")</f>
        <v>View</v>
      </c>
    </row>
    <row r="114" spans="1:21" ht="20.399999999999999">
      <c r="A114" s="6">
        <v>43427.474328703705</v>
      </c>
      <c r="B114" s="7" t="str">
        <f>HYPERLINK("https://twitter.com/Podemoscazorla","@Podemoscazorla")</f>
        <v>@Podemoscazorla</v>
      </c>
      <c r="C114" s="8" t="s">
        <v>695</v>
      </c>
      <c r="D114" s="9" t="s">
        <v>696</v>
      </c>
      <c r="E114" s="10" t="str">
        <f>HYPERLINK("https://twitter.com/Podemoscazorla/status/1065913606674571264","1065913606674571264")</f>
        <v>1065913606674571264</v>
      </c>
      <c r="F114" s="11" t="s">
        <v>616</v>
      </c>
      <c r="G114" s="12"/>
      <c r="H114" s="12"/>
      <c r="I114" s="13">
        <v>0</v>
      </c>
      <c r="J114" s="13">
        <v>0</v>
      </c>
      <c r="K114" s="14" t="str">
        <f>HYPERLINK("http://www.facebook.com/twitter","Facebook")</f>
        <v>Facebook</v>
      </c>
      <c r="L114" s="13">
        <v>1998</v>
      </c>
      <c r="M114" s="13">
        <v>817</v>
      </c>
      <c r="N114" s="13">
        <v>27</v>
      </c>
      <c r="O114" s="15"/>
      <c r="P114" s="6">
        <v>41758.576423611114</v>
      </c>
      <c r="Q114" s="12"/>
      <c r="R114" s="19"/>
      <c r="S114" s="12"/>
      <c r="T114" s="12"/>
      <c r="U114" s="10" t="str">
        <f>HYPERLINK("https://pbs.twimg.com/profile_images/1015169995809189888/7TbrVCxt.jpg","View")</f>
        <v>View</v>
      </c>
    </row>
    <row r="115" spans="1:21" ht="51">
      <c r="A115" s="6">
        <v>43427.473692129628</v>
      </c>
      <c r="B115" s="7" t="str">
        <f>HYPERLINK("https://twitter.com/abiertoespacio","@abiertoespacio")</f>
        <v>@abiertoespacio</v>
      </c>
      <c r="C115" s="8" t="s">
        <v>446</v>
      </c>
      <c r="D115" s="9" t="s">
        <v>447</v>
      </c>
      <c r="E115" s="10" t="str">
        <f>HYPERLINK("https://twitter.com/abiertoespacio/status/1065913378823184384","1065913378823184384")</f>
        <v>1065913378823184384</v>
      </c>
      <c r="F115" s="11" t="s">
        <v>450</v>
      </c>
      <c r="G115" s="12"/>
      <c r="H115" s="12"/>
      <c r="I115" s="13">
        <v>0</v>
      </c>
      <c r="J115" s="13">
        <v>1</v>
      </c>
      <c r="K115" s="14" t="str">
        <f>HYPERLINK("http://twitter.com","Twitter Web Client")</f>
        <v>Twitter Web Client</v>
      </c>
      <c r="L115" s="13">
        <v>585</v>
      </c>
      <c r="M115" s="13">
        <v>1107</v>
      </c>
      <c r="N115" s="13">
        <v>1</v>
      </c>
      <c r="O115" s="15"/>
      <c r="P115" s="6">
        <v>41568.569733796292</v>
      </c>
      <c r="Q115" s="16" t="s">
        <v>451</v>
      </c>
      <c r="R115" s="19"/>
      <c r="S115" s="11" t="s">
        <v>452</v>
      </c>
      <c r="T115" s="12"/>
      <c r="U115" s="10" t="str">
        <f>HYPERLINK("https://pbs.twimg.com/profile_images/378800000645498774/fbb85aad553889e86c4033e9827dd6da.jpeg","View")</f>
        <v>View</v>
      </c>
    </row>
    <row r="116" spans="1:21" ht="61.2">
      <c r="A116" s="6">
        <v>43427.473229166666</v>
      </c>
      <c r="B116" s="7" t="str">
        <f>HYPERLINK("https://twitter.com/GorgojeodeJesus","@GorgojeodeJesus")</f>
        <v>@GorgojeodeJesus</v>
      </c>
      <c r="C116" s="8" t="s">
        <v>453</v>
      </c>
      <c r="D116" s="9" t="s">
        <v>454</v>
      </c>
      <c r="E116" s="10" t="str">
        <f>HYPERLINK("https://twitter.com/GorgojeodeJesus/status/1065913208588910592","1065913208588910592")</f>
        <v>1065913208588910592</v>
      </c>
      <c r="F116" s="12"/>
      <c r="G116" s="12"/>
      <c r="H116" s="12"/>
      <c r="I116" s="13">
        <v>0</v>
      </c>
      <c r="J116" s="13">
        <v>0</v>
      </c>
      <c r="K116" s="14" t="str">
        <f>HYPERLINK("http://twitter.com/download/iphone","Twitter for iPhone")</f>
        <v>Twitter for iPhone</v>
      </c>
      <c r="L116" s="13">
        <v>490</v>
      </c>
      <c r="M116" s="13">
        <v>1240</v>
      </c>
      <c r="N116" s="13">
        <v>5</v>
      </c>
      <c r="O116" s="15"/>
      <c r="P116" s="6">
        <v>40949.394687499997</v>
      </c>
      <c r="Q116" s="16" t="s">
        <v>455</v>
      </c>
      <c r="R116" s="17" t="s">
        <v>456</v>
      </c>
      <c r="S116" s="12"/>
      <c r="T116" s="12"/>
      <c r="U116" s="10" t="str">
        <f>HYPERLINK("https://pbs.twimg.com/profile_images/1064469679727628289/XQLgpRgi.jpg","View")</f>
        <v>View</v>
      </c>
    </row>
    <row r="117" spans="1:21" ht="20.399999999999999">
      <c r="A117" s="6">
        <v>43427.473194444443</v>
      </c>
      <c r="B117" s="7" t="str">
        <f>HYPERLINK("https://twitter.com/CwhRoss","@CwhRoss")</f>
        <v>@CwhRoss</v>
      </c>
      <c r="C117" s="8" t="s">
        <v>711</v>
      </c>
      <c r="D117" s="9" t="s">
        <v>712</v>
      </c>
      <c r="E117" s="10" t="str">
        <f>HYPERLINK("https://twitter.com/CwhRoss/status/1065913196568109057","1065913196568109057")</f>
        <v>1065913196568109057</v>
      </c>
      <c r="F117" s="11" t="s">
        <v>714</v>
      </c>
      <c r="G117" s="12"/>
      <c r="H117" s="12"/>
      <c r="I117" s="13">
        <v>0</v>
      </c>
      <c r="J117" s="13">
        <v>0</v>
      </c>
      <c r="K117" s="14" t="str">
        <f>HYPERLINK("http://www.facebook.com/twitter","Facebook")</f>
        <v>Facebook</v>
      </c>
      <c r="L117" s="13">
        <v>169</v>
      </c>
      <c r="M117" s="13">
        <v>2</v>
      </c>
      <c r="N117" s="13">
        <v>45</v>
      </c>
      <c r="O117" s="15"/>
      <c r="P117" s="6">
        <v>41008.781701388885</v>
      </c>
      <c r="Q117" s="16" t="s">
        <v>715</v>
      </c>
      <c r="R117" s="26" t="s">
        <v>716</v>
      </c>
      <c r="S117" s="11" t="s">
        <v>721</v>
      </c>
      <c r="T117" s="12"/>
      <c r="U117" s="10" t="str">
        <f>HYPERLINK("https://pbs.twimg.com/profile_images/2076887937/Copy_of_cerdo_con_maciza.jpg","View")</f>
        <v>View</v>
      </c>
    </row>
    <row r="118" spans="1:21" ht="20.399999999999999">
      <c r="A118" s="6">
        <v>43427.473078703704</v>
      </c>
      <c r="B118" s="7" t="str">
        <f>HYPERLINK("https://twitter.com/JManimar","@JManimar")</f>
        <v>@JManimar</v>
      </c>
      <c r="C118" s="8" t="s">
        <v>724</v>
      </c>
      <c r="D118" s="9" t="s">
        <v>725</v>
      </c>
      <c r="E118" s="10" t="str">
        <f>HYPERLINK("https://twitter.com/JManimar/status/1065913154604027905","1065913154604027905")</f>
        <v>1065913154604027905</v>
      </c>
      <c r="F118" s="12"/>
      <c r="G118" s="11" t="s">
        <v>726</v>
      </c>
      <c r="H118" s="12"/>
      <c r="I118" s="13">
        <v>1</v>
      </c>
      <c r="J118" s="13">
        <v>3</v>
      </c>
      <c r="K118" s="14" t="str">
        <f>HYPERLINK("http://twitter.com/download/android","Twitter for Android")</f>
        <v>Twitter for Android</v>
      </c>
      <c r="L118" s="13">
        <v>3451</v>
      </c>
      <c r="M118" s="13">
        <v>689</v>
      </c>
      <c r="N118" s="13">
        <v>23</v>
      </c>
      <c r="O118" s="15"/>
      <c r="P118" s="6">
        <v>42105.753634259258</v>
      </c>
      <c r="Q118" s="16" t="s">
        <v>727</v>
      </c>
      <c r="R118" s="17" t="s">
        <v>728</v>
      </c>
      <c r="S118" s="12"/>
      <c r="T118" s="12"/>
      <c r="U118" s="10" t="str">
        <f>HYPERLINK("https://pbs.twimg.com/profile_images/1059194425690198016/Yv3qWLHs.jpg","View")</f>
        <v>View</v>
      </c>
    </row>
    <row r="119" spans="1:21" ht="30.6">
      <c r="A119" s="6">
        <v>43427.470335648148</v>
      </c>
      <c r="B119" s="7" t="str">
        <f>HYPERLINK("https://twitter.com/Charran_Esp","@Charran_Esp")</f>
        <v>@Charran_Esp</v>
      </c>
      <c r="C119" s="8" t="s">
        <v>729</v>
      </c>
      <c r="D119" s="9" t="s">
        <v>730</v>
      </c>
      <c r="E119" s="10" t="str">
        <f>HYPERLINK("https://twitter.com/Charran_Esp/status/1065912161548099584","1065912161548099584")</f>
        <v>1065912161548099584</v>
      </c>
      <c r="F119" s="11" t="s">
        <v>463</v>
      </c>
      <c r="G119" s="12"/>
      <c r="H119" s="12"/>
      <c r="I119" s="13">
        <v>0</v>
      </c>
      <c r="J119" s="13">
        <v>0</v>
      </c>
      <c r="K119" s="14" t="str">
        <f>HYPERLINK("https://ifttt.com","IFTTT")</f>
        <v>IFTTT</v>
      </c>
      <c r="L119" s="13">
        <v>59</v>
      </c>
      <c r="M119" s="13">
        <v>71</v>
      </c>
      <c r="N119" s="13">
        <v>0</v>
      </c>
      <c r="O119" s="15"/>
      <c r="P119" s="6">
        <v>42915.451712962968</v>
      </c>
      <c r="Q119" s="16" t="s">
        <v>37</v>
      </c>
      <c r="R119" s="17" t="s">
        <v>734</v>
      </c>
      <c r="S119" s="12"/>
      <c r="T119" s="12"/>
      <c r="U119" s="10" t="str">
        <f>HYPERLINK("https://pbs.twimg.com/profile_images/880349188244078592/vsdcBU4x.jpg","View")</f>
        <v>View</v>
      </c>
    </row>
    <row r="120" spans="1:21" ht="51">
      <c r="A120" s="6">
        <v>43427.469502314816</v>
      </c>
      <c r="B120" s="7" t="str">
        <f>HYPERLINK("https://twitter.com/davidlerose","@davidlerose")</f>
        <v>@davidlerose</v>
      </c>
      <c r="C120" s="8" t="s">
        <v>457</v>
      </c>
      <c r="D120" s="9" t="s">
        <v>458</v>
      </c>
      <c r="E120" s="10" t="str">
        <f>HYPERLINK("https://twitter.com/davidlerose/status/1065911859646205952","1065911859646205952")</f>
        <v>1065911859646205952</v>
      </c>
      <c r="F120" s="12"/>
      <c r="G120" s="11" t="s">
        <v>459</v>
      </c>
      <c r="H120" s="12"/>
      <c r="I120" s="13">
        <v>0</v>
      </c>
      <c r="J120" s="13">
        <v>0</v>
      </c>
      <c r="K120" s="14" t="str">
        <f>HYPERLINK("http://twitter.com/download/android","Twitter for Android")</f>
        <v>Twitter for Android</v>
      </c>
      <c r="L120" s="13">
        <v>73</v>
      </c>
      <c r="M120" s="13">
        <v>488</v>
      </c>
      <c r="N120" s="13">
        <v>0</v>
      </c>
      <c r="O120" s="15"/>
      <c r="P120" s="6">
        <v>41007.739571759259</v>
      </c>
      <c r="Q120" s="12"/>
      <c r="R120" s="17" t="s">
        <v>460</v>
      </c>
      <c r="S120" s="12"/>
      <c r="T120" s="12"/>
      <c r="U120" s="10" t="str">
        <f>HYPERLINK("https://pbs.twimg.com/profile_images/914827866810064896/RVh3Jbpk.jpg","View")</f>
        <v>View</v>
      </c>
    </row>
    <row r="121" spans="1:21" ht="40.799999999999997">
      <c r="A121" s="6">
        <v>43427.468576388885</v>
      </c>
      <c r="B121" s="7" t="str">
        <f>HYPERLINK("https://twitter.com/javitoalcala","@javitoalcala")</f>
        <v>@javitoalcala</v>
      </c>
      <c r="C121" s="8" t="s">
        <v>738</v>
      </c>
      <c r="D121" s="9" t="s">
        <v>741</v>
      </c>
      <c r="E121" s="10" t="str">
        <f>HYPERLINK("https://twitter.com/javitoalcala/status/1065911525267914752","1065911525267914752")</f>
        <v>1065911525267914752</v>
      </c>
      <c r="F121" s="16" t="s">
        <v>445</v>
      </c>
      <c r="G121" s="12"/>
      <c r="H121" s="12"/>
      <c r="I121" s="13">
        <v>0</v>
      </c>
      <c r="J121" s="13">
        <v>0</v>
      </c>
      <c r="K121" s="14" t="str">
        <f>HYPERLINK("http://twitter.com","Twitter Web Client")</f>
        <v>Twitter Web Client</v>
      </c>
      <c r="L121" s="13">
        <v>698</v>
      </c>
      <c r="M121" s="13">
        <v>380</v>
      </c>
      <c r="N121" s="13">
        <v>6</v>
      </c>
      <c r="O121" s="15"/>
      <c r="P121" s="6">
        <v>40994.962534722225</v>
      </c>
      <c r="Q121" s="16" t="s">
        <v>742</v>
      </c>
      <c r="R121" s="17" t="s">
        <v>744</v>
      </c>
      <c r="S121" s="11" t="s">
        <v>746</v>
      </c>
      <c r="T121" s="12"/>
      <c r="U121" s="10" t="str">
        <f>HYPERLINK("https://pbs.twimg.com/profile_images/856886742573559808/O3KCUei0.jpg","View")</f>
        <v>View</v>
      </c>
    </row>
    <row r="122" spans="1:21" ht="40.799999999999997">
      <c r="A122" s="6">
        <v>43427.467372685191</v>
      </c>
      <c r="B122" s="7" t="str">
        <f>HYPERLINK("https://twitter.com/ESdiario_com","@ESdiario_com")</f>
        <v>@ESdiario_com</v>
      </c>
      <c r="C122" s="8" t="s">
        <v>461</v>
      </c>
      <c r="D122" s="9" t="s">
        <v>462</v>
      </c>
      <c r="E122" s="10" t="str">
        <f>HYPERLINK("https://twitter.com/ESdiario_com/status/1065911087760060418","1065911087760060418")</f>
        <v>1065911087760060418</v>
      </c>
      <c r="F122" s="11" t="s">
        <v>463</v>
      </c>
      <c r="G122" s="12"/>
      <c r="H122" s="12"/>
      <c r="I122" s="13">
        <v>2</v>
      </c>
      <c r="J122" s="13">
        <v>5</v>
      </c>
      <c r="K122" s="14" t="str">
        <f t="shared" ref="K122:K125" si="31">HYPERLINK("http://twitter.com/download/android","Twitter for Android")</f>
        <v>Twitter for Android</v>
      </c>
      <c r="L122" s="13">
        <v>30818</v>
      </c>
      <c r="M122" s="13">
        <v>706</v>
      </c>
      <c r="N122" s="13">
        <v>494</v>
      </c>
      <c r="O122" s="15"/>
      <c r="P122" s="6">
        <v>40584.500949074078</v>
      </c>
      <c r="Q122" s="16" t="s">
        <v>106</v>
      </c>
      <c r="R122" s="17" t="s">
        <v>464</v>
      </c>
      <c r="S122" s="11" t="s">
        <v>465</v>
      </c>
      <c r="T122" s="12"/>
      <c r="U122" s="10" t="str">
        <f>HYPERLINK("https://pbs.twimg.com/profile_images/708363281308753920/7qh3akOb.jpg","View")</f>
        <v>View</v>
      </c>
    </row>
    <row r="123" spans="1:21" ht="30.6">
      <c r="A123" s="6">
        <v>43427.465810185182</v>
      </c>
      <c r="B123" s="7" t="str">
        <f>HYPERLINK("https://twitter.com/Onallibertat","@Onallibertat")</f>
        <v>@Onallibertat</v>
      </c>
      <c r="C123" s="8" t="s">
        <v>755</v>
      </c>
      <c r="D123" s="9" t="s">
        <v>756</v>
      </c>
      <c r="E123" s="10" t="str">
        <f>HYPERLINK("https://twitter.com/Onallibertat/status/1065910522611200000","1065910522611200000")</f>
        <v>1065910522611200000</v>
      </c>
      <c r="F123" s="12"/>
      <c r="G123" s="12"/>
      <c r="H123" s="12"/>
      <c r="I123" s="13">
        <v>0</v>
      </c>
      <c r="J123" s="13">
        <v>0</v>
      </c>
      <c r="K123" s="14" t="str">
        <f t="shared" si="31"/>
        <v>Twitter for Android</v>
      </c>
      <c r="L123" s="13">
        <v>111</v>
      </c>
      <c r="M123" s="13">
        <v>123</v>
      </c>
      <c r="N123" s="13">
        <v>2</v>
      </c>
      <c r="O123" s="15"/>
      <c r="P123" s="6">
        <v>43179.75372685185</v>
      </c>
      <c r="Q123" s="16" t="s">
        <v>759</v>
      </c>
      <c r="R123" s="17" t="s">
        <v>760</v>
      </c>
      <c r="S123" s="12"/>
      <c r="T123" s="12"/>
      <c r="U123" s="10" t="str">
        <f>HYPERLINK("https://pbs.twimg.com/profile_images/977283029382189058/ZmsB3kiX.jpg","View")</f>
        <v>View</v>
      </c>
    </row>
    <row r="124" spans="1:21" ht="102">
      <c r="A124" s="6">
        <v>43427.465208333335</v>
      </c>
      <c r="B124" s="7" t="str">
        <f>HYPERLINK("https://twitter.com/RuthIliana46","@RuthIliana46")</f>
        <v>@RuthIliana46</v>
      </c>
      <c r="C124" s="8" t="s">
        <v>437</v>
      </c>
      <c r="D124" s="9" t="s">
        <v>466</v>
      </c>
      <c r="E124" s="10" t="str">
        <f>HYPERLINK("https://twitter.com/RuthIliana46/status/1065910301705555971","1065910301705555971")</f>
        <v>1065910301705555971</v>
      </c>
      <c r="F124" s="16" t="s">
        <v>467</v>
      </c>
      <c r="G124" s="12"/>
      <c r="H124" s="12"/>
      <c r="I124" s="13">
        <v>5</v>
      </c>
      <c r="J124" s="13">
        <v>6</v>
      </c>
      <c r="K124" s="14" t="str">
        <f t="shared" si="31"/>
        <v>Twitter for Android</v>
      </c>
      <c r="L124" s="13">
        <v>4287</v>
      </c>
      <c r="M124" s="13">
        <v>4178</v>
      </c>
      <c r="N124" s="13">
        <v>483</v>
      </c>
      <c r="O124" s="15"/>
      <c r="P124" s="6">
        <v>41235.80333333333</v>
      </c>
      <c r="Q124" s="16" t="s">
        <v>440</v>
      </c>
      <c r="R124" s="17" t="s">
        <v>441</v>
      </c>
      <c r="S124" s="11" t="s">
        <v>442</v>
      </c>
      <c r="T124" s="12"/>
      <c r="U124" s="10" t="str">
        <f>HYPERLINK("https://pbs.twimg.com/profile_images/976118533162721287/GaSph7A7.jpg","View")</f>
        <v>View</v>
      </c>
    </row>
    <row r="125" spans="1:21" ht="61.2">
      <c r="A125" s="6">
        <v>43427.462546296301</v>
      </c>
      <c r="B125" s="7" t="str">
        <f>HYPERLINK("https://twitter.com/aroza48","@aroza48")</f>
        <v>@aroza48</v>
      </c>
      <c r="C125" s="8" t="s">
        <v>767</v>
      </c>
      <c r="D125" s="9" t="s">
        <v>768</v>
      </c>
      <c r="E125" s="10" t="str">
        <f>HYPERLINK("https://twitter.com/aroza48/status/1065909337883926528","1065909337883926528")</f>
        <v>1065909337883926528</v>
      </c>
      <c r="F125" s="12"/>
      <c r="G125" s="12"/>
      <c r="H125" s="12"/>
      <c r="I125" s="13">
        <v>1</v>
      </c>
      <c r="J125" s="13">
        <v>1</v>
      </c>
      <c r="K125" s="14" t="str">
        <f t="shared" si="31"/>
        <v>Twitter for Android</v>
      </c>
      <c r="L125" s="13">
        <v>4017</v>
      </c>
      <c r="M125" s="13">
        <v>4441</v>
      </c>
      <c r="N125" s="13">
        <v>8</v>
      </c>
      <c r="O125" s="15"/>
      <c r="P125" s="6">
        <v>41486.735659722224</v>
      </c>
      <c r="Q125" s="16" t="s">
        <v>771</v>
      </c>
      <c r="R125" s="17" t="s">
        <v>772</v>
      </c>
      <c r="S125" s="12"/>
      <c r="T125" s="12"/>
      <c r="U125" s="10" t="str">
        <f>HYPERLINK("https://pbs.twimg.com/profile_images/1017854570242957312/GVaHtdaM.jpg","View")</f>
        <v>View</v>
      </c>
    </row>
    <row r="126" spans="1:21" ht="30.6">
      <c r="A126" s="6">
        <v>43427.462326388893</v>
      </c>
      <c r="B126" s="7" t="str">
        <f>HYPERLINK("https://twitter.com/CsCongreso","@CsCongreso")</f>
        <v>@CsCongreso</v>
      </c>
      <c r="C126" s="8" t="s">
        <v>468</v>
      </c>
      <c r="D126" s="9" t="s">
        <v>469</v>
      </c>
      <c r="E126" s="10" t="str">
        <f>HYPERLINK("https://twitter.com/CsCongreso/status/1065909258062057472","1065909258062057472")</f>
        <v>1065909258062057472</v>
      </c>
      <c r="F126" s="11" t="s">
        <v>470</v>
      </c>
      <c r="G126" s="11" t="s">
        <v>471</v>
      </c>
      <c r="H126" s="12"/>
      <c r="I126" s="13">
        <v>7</v>
      </c>
      <c r="J126" s="13">
        <v>7</v>
      </c>
      <c r="K126" s="14" t="str">
        <f>HYPERLINK("http://twitter.com","Twitter Web Client")</f>
        <v>Twitter Web Client</v>
      </c>
      <c r="L126" s="13">
        <v>35433</v>
      </c>
      <c r="M126" s="13">
        <v>10003</v>
      </c>
      <c r="N126" s="13">
        <v>415</v>
      </c>
      <c r="O126" s="18" t="s">
        <v>36</v>
      </c>
      <c r="P126" s="6">
        <v>41533.434733796297</v>
      </c>
      <c r="Q126" s="16" t="s">
        <v>37</v>
      </c>
      <c r="R126" s="17" t="s">
        <v>472</v>
      </c>
      <c r="S126" s="11" t="s">
        <v>473</v>
      </c>
      <c r="T126" s="12"/>
      <c r="U126" s="10" t="str">
        <f>HYPERLINK("https://pbs.twimg.com/profile_images/885163719302557696/v7WiRi0W.jpg","View")</f>
        <v>View</v>
      </c>
    </row>
    <row r="127" spans="1:21" ht="51">
      <c r="A127" s="6">
        <v>43427.46092592593</v>
      </c>
      <c r="B127" s="7" t="str">
        <f>HYPERLINK("https://twitter.com/JoeRunnerZZ","@JoeRunnerZZ")</f>
        <v>@JoeRunnerZZ</v>
      </c>
      <c r="C127" s="8" t="s">
        <v>779</v>
      </c>
      <c r="D127" s="9" t="s">
        <v>780</v>
      </c>
      <c r="E127" s="10" t="str">
        <f>HYPERLINK("https://twitter.com/JoeRunnerZZ/status/1065908749985095680","1065908749985095680")</f>
        <v>1065908749985095680</v>
      </c>
      <c r="F127" s="12"/>
      <c r="G127" s="12"/>
      <c r="H127" s="12"/>
      <c r="I127" s="13">
        <v>2</v>
      </c>
      <c r="J127" s="13">
        <v>2</v>
      </c>
      <c r="K127" s="14" t="str">
        <f>HYPERLINK("https://mobile.twitter.com","Twitter Lite")</f>
        <v>Twitter Lite</v>
      </c>
      <c r="L127" s="13">
        <v>360</v>
      </c>
      <c r="M127" s="13">
        <v>370</v>
      </c>
      <c r="N127" s="13">
        <v>1</v>
      </c>
      <c r="O127" s="15"/>
      <c r="P127" s="6">
        <v>43068.945613425924</v>
      </c>
      <c r="Q127" s="16" t="s">
        <v>783</v>
      </c>
      <c r="R127" s="17" t="s">
        <v>784</v>
      </c>
      <c r="S127" s="11" t="s">
        <v>785</v>
      </c>
      <c r="T127" s="12"/>
      <c r="U127" s="10" t="str">
        <f>HYPERLINK("https://pbs.twimg.com/profile_images/1064480041407533056/SroEWUiT.jpg","View")</f>
        <v>View</v>
      </c>
    </row>
    <row r="128" spans="1:21" ht="51">
      <c r="A128" s="6">
        <v>43427.458796296298</v>
      </c>
      <c r="B128" s="7" t="str">
        <f>HYPERLINK("https://twitter.com/liniesvermelles","@liniesvermelles")</f>
        <v>@liniesvermelles</v>
      </c>
      <c r="C128" s="8" t="s">
        <v>474</v>
      </c>
      <c r="D128" s="9" t="s">
        <v>475</v>
      </c>
      <c r="E128" s="10" t="str">
        <f>HYPERLINK("https://twitter.com/liniesvermelles/status/1065907980565139456","1065907980565139456")</f>
        <v>1065907980565139456</v>
      </c>
      <c r="F128" s="16" t="s">
        <v>476</v>
      </c>
      <c r="G128" s="12"/>
      <c r="H128" s="12"/>
      <c r="I128" s="13">
        <v>0</v>
      </c>
      <c r="J128" s="13">
        <v>0</v>
      </c>
      <c r="K128" s="14" t="str">
        <f>HYPERLINK("http://twitter.com/download/android","Twitter for Android")</f>
        <v>Twitter for Android</v>
      </c>
      <c r="L128" s="13">
        <v>755</v>
      </c>
      <c r="M128" s="13">
        <v>1628</v>
      </c>
      <c r="N128" s="13">
        <v>16</v>
      </c>
      <c r="O128" s="15"/>
      <c r="P128" s="6">
        <v>40709.146493055552</v>
      </c>
      <c r="Q128" s="12"/>
      <c r="R128" s="17" t="s">
        <v>477</v>
      </c>
      <c r="S128" s="12"/>
      <c r="T128" s="12"/>
      <c r="U128" s="10" t="str">
        <f>HYPERLINK("https://pbs.twimg.com/profile_images/1454064539/estrella-tapiz8puntas.gif","View")</f>
        <v>View</v>
      </c>
    </row>
    <row r="129" spans="1:21" ht="40.799999999999997">
      <c r="A129" s="6">
        <v>43427.458680555559</v>
      </c>
      <c r="B129" s="7" t="str">
        <f>HYPERLINK("https://twitter.com/lextresabogados","@lextresabogados")</f>
        <v>@lextresabogados</v>
      </c>
      <c r="C129" s="8" t="s">
        <v>790</v>
      </c>
      <c r="D129" s="9" t="s">
        <v>791</v>
      </c>
      <c r="E129" s="10" t="str">
        <f>HYPERLINK("https://twitter.com/lextresabogados/status/1065907938777280512","1065907938777280512")</f>
        <v>1065907938777280512</v>
      </c>
      <c r="F129" s="11" t="s">
        <v>491</v>
      </c>
      <c r="G129" s="11" t="s">
        <v>792</v>
      </c>
      <c r="H129" s="12"/>
      <c r="I129" s="13">
        <v>0</v>
      </c>
      <c r="J129" s="13">
        <v>0</v>
      </c>
      <c r="K129" s="14" t="str">
        <f>HYPERLINK("http://35.180.36.179","botize nueva")</f>
        <v>botize nueva</v>
      </c>
      <c r="L129" s="13">
        <v>2229</v>
      </c>
      <c r="M129" s="13">
        <v>3277</v>
      </c>
      <c r="N129" s="13">
        <v>22</v>
      </c>
      <c r="O129" s="15"/>
      <c r="P129" s="6">
        <v>42880.770949074074</v>
      </c>
      <c r="Q129" s="16" t="s">
        <v>189</v>
      </c>
      <c r="R129" s="17" t="s">
        <v>793</v>
      </c>
      <c r="S129" s="11" t="s">
        <v>794</v>
      </c>
      <c r="T129" s="12"/>
      <c r="U129" s="10" t="str">
        <f>HYPERLINK("https://pbs.twimg.com/profile_images/1058352229546164224/xnNCczNu.jpg","View")</f>
        <v>View</v>
      </c>
    </row>
    <row r="130" spans="1:21" ht="51">
      <c r="A130" s="6">
        <v>43427.457152777773</v>
      </c>
      <c r="B130" s="7" t="str">
        <f>HYPERLINK("https://twitter.com/culebra1978","@culebra1978")</f>
        <v>@culebra1978</v>
      </c>
      <c r="C130" s="8" t="s">
        <v>478</v>
      </c>
      <c r="D130" s="9" t="s">
        <v>479</v>
      </c>
      <c r="E130" s="10" t="str">
        <f>HYPERLINK("https://twitter.com/culebra1978/status/1065907385351446528","1065907385351446528")</f>
        <v>1065907385351446528</v>
      </c>
      <c r="F130" s="12"/>
      <c r="G130" s="12"/>
      <c r="H130" s="12"/>
      <c r="I130" s="13">
        <v>24</v>
      </c>
      <c r="J130" s="13">
        <v>41</v>
      </c>
      <c r="K130" s="14" t="str">
        <f>HYPERLINK("http://twitter.com/download/android","Twitter for Android")</f>
        <v>Twitter for Android</v>
      </c>
      <c r="L130" s="13">
        <v>6577</v>
      </c>
      <c r="M130" s="13">
        <v>5318</v>
      </c>
      <c r="N130" s="13">
        <v>9</v>
      </c>
      <c r="O130" s="15"/>
      <c r="P130" s="6">
        <v>41008.866574074076</v>
      </c>
      <c r="Q130" s="16" t="s">
        <v>480</v>
      </c>
      <c r="R130" s="17" t="s">
        <v>481</v>
      </c>
      <c r="S130" s="12"/>
      <c r="T130" s="12"/>
      <c r="U130" s="10" t="str">
        <f>HYPERLINK("https://pbs.twimg.com/profile_images/1042005741668900866/Z6LFT-O8.jpg","View")</f>
        <v>View</v>
      </c>
    </row>
    <row r="131" spans="1:21" ht="20.399999999999999">
      <c r="A131" s="6">
        <v>43427.456967592589</v>
      </c>
      <c r="B131" s="7" t="str">
        <f>HYPERLINK("https://twitter.com/xaviconde","@xaviconde")</f>
        <v>@xaviconde</v>
      </c>
      <c r="C131" s="8" t="s">
        <v>798</v>
      </c>
      <c r="D131" s="9" t="s">
        <v>799</v>
      </c>
      <c r="E131" s="10" t="str">
        <f>HYPERLINK("https://twitter.com/xaviconde/status/1065907317886078976","1065907317886078976")</f>
        <v>1065907317886078976</v>
      </c>
      <c r="F131" s="12"/>
      <c r="G131" s="12"/>
      <c r="H131" s="12"/>
      <c r="I131" s="13">
        <v>9</v>
      </c>
      <c r="J131" s="13">
        <v>34</v>
      </c>
      <c r="K131" s="14" t="str">
        <f t="shared" ref="K131:K132" si="32">HYPERLINK("http://twitter.com","Twitter Web Client")</f>
        <v>Twitter Web Client</v>
      </c>
      <c r="L131" s="13">
        <v>55212</v>
      </c>
      <c r="M131" s="13">
        <v>1167</v>
      </c>
      <c r="N131" s="13">
        <v>1295</v>
      </c>
      <c r="O131" s="15"/>
      <c r="P131" s="6">
        <v>39918.566493055558</v>
      </c>
      <c r="Q131" s="12"/>
      <c r="R131" s="17" t="s">
        <v>800</v>
      </c>
      <c r="S131" s="11" t="s">
        <v>801</v>
      </c>
      <c r="T131" s="12"/>
      <c r="U131" s="10" t="str">
        <f>HYPERLINK("https://pbs.twimg.com/profile_images/872089737120632832/wq3RwpYb.jpg","View")</f>
        <v>View</v>
      </c>
    </row>
    <row r="132" spans="1:21" ht="61.2">
      <c r="A132" s="6">
        <v>43427.455439814818</v>
      </c>
      <c r="B132" s="7" t="str">
        <f>HYPERLINK("https://twitter.com/ChristianPani13","@ChristianPani13")</f>
        <v>@ChristianPani13</v>
      </c>
      <c r="C132" s="8" t="s">
        <v>482</v>
      </c>
      <c r="D132" s="9" t="s">
        <v>483</v>
      </c>
      <c r="E132" s="10" t="str">
        <f>HYPERLINK("https://twitter.com/ChristianPani13/status/1065906762371469312","1065906762371469312")</f>
        <v>1065906762371469312</v>
      </c>
      <c r="F132" s="11" t="s">
        <v>38</v>
      </c>
      <c r="G132" s="11" t="s">
        <v>40</v>
      </c>
      <c r="H132" s="12"/>
      <c r="I132" s="13">
        <v>0</v>
      </c>
      <c r="J132" s="13">
        <v>0</v>
      </c>
      <c r="K132" s="14" t="str">
        <f t="shared" si="32"/>
        <v>Twitter Web Client</v>
      </c>
      <c r="L132" s="13">
        <v>220</v>
      </c>
      <c r="M132" s="13">
        <v>1017</v>
      </c>
      <c r="N132" s="13">
        <v>3</v>
      </c>
      <c r="O132" s="15"/>
      <c r="P132" s="6">
        <v>41896.665810185186</v>
      </c>
      <c r="Q132" s="16" t="s">
        <v>484</v>
      </c>
      <c r="R132" s="17" t="s">
        <v>485</v>
      </c>
      <c r="S132" s="11" t="s">
        <v>486</v>
      </c>
      <c r="T132" s="12"/>
      <c r="U132" s="10" t="str">
        <f>HYPERLINK("https://pbs.twimg.com/profile_images/1062720693438169090/BxpuHSyG.jpg","View")</f>
        <v>View</v>
      </c>
    </row>
    <row r="133" spans="1:21" ht="102">
      <c r="A133" s="6">
        <v>43427.455300925925</v>
      </c>
      <c r="B133" s="7" t="str">
        <f>HYPERLINK("https://twitter.com/RuthIliana46","@RuthIliana46")</f>
        <v>@RuthIliana46</v>
      </c>
      <c r="C133" s="8" t="s">
        <v>437</v>
      </c>
      <c r="D133" s="9" t="s">
        <v>487</v>
      </c>
      <c r="E133" s="10" t="str">
        <f>HYPERLINK("https://twitter.com/RuthIliana46/status/1065906710773145601","1065906710773145601")</f>
        <v>1065906710773145601</v>
      </c>
      <c r="F133" s="16" t="s">
        <v>488</v>
      </c>
      <c r="G133" s="12"/>
      <c r="H133" s="12"/>
      <c r="I133" s="13">
        <v>5</v>
      </c>
      <c r="J133" s="13">
        <v>6</v>
      </c>
      <c r="K133" s="14" t="str">
        <f>HYPERLINK("http://twitter.com/download/android","Twitter for Android")</f>
        <v>Twitter for Android</v>
      </c>
      <c r="L133" s="13">
        <v>4287</v>
      </c>
      <c r="M133" s="13">
        <v>4178</v>
      </c>
      <c r="N133" s="13">
        <v>483</v>
      </c>
      <c r="O133" s="15"/>
      <c r="P133" s="6">
        <v>41235.80333333333</v>
      </c>
      <c r="Q133" s="16" t="s">
        <v>440</v>
      </c>
      <c r="R133" s="17" t="s">
        <v>441</v>
      </c>
      <c r="S133" s="11" t="s">
        <v>442</v>
      </c>
      <c r="T133" s="12"/>
      <c r="U133" s="10" t="str">
        <f>HYPERLINK("https://pbs.twimg.com/profile_images/976118533162721287/GaSph7A7.jpg","View")</f>
        <v>View</v>
      </c>
    </row>
    <row r="134" spans="1:21" ht="30.6">
      <c r="A134" s="6">
        <v>43427.455185185187</v>
      </c>
      <c r="B134" s="7" t="str">
        <f>HYPERLINK("https://twitter.com/libertaddigital","@libertaddigital")</f>
        <v>@libertaddigital</v>
      </c>
      <c r="C134" s="8" t="s">
        <v>489</v>
      </c>
      <c r="D134" s="9" t="s">
        <v>490</v>
      </c>
      <c r="E134" s="10" t="str">
        <f>HYPERLINK("https://twitter.com/libertaddigital/status/1065906670377861120","1065906670377861120")</f>
        <v>1065906670377861120</v>
      </c>
      <c r="F134" s="11" t="s">
        <v>491</v>
      </c>
      <c r="G134" s="11" t="s">
        <v>494</v>
      </c>
      <c r="H134" s="12"/>
      <c r="I134" s="13">
        <v>1</v>
      </c>
      <c r="J134" s="13">
        <v>6</v>
      </c>
      <c r="K134" s="14" t="str">
        <f>HYPERLINK("http://twitter.com","Twitter Web Client")</f>
        <v>Twitter Web Client</v>
      </c>
      <c r="L134" s="13">
        <v>124374</v>
      </c>
      <c r="M134" s="13">
        <v>563</v>
      </c>
      <c r="N134" s="13">
        <v>2364</v>
      </c>
      <c r="O134" s="18" t="s">
        <v>36</v>
      </c>
      <c r="P134" s="6">
        <v>39899.727141203708</v>
      </c>
      <c r="Q134" s="16" t="s">
        <v>496</v>
      </c>
      <c r="R134" s="17" t="s">
        <v>497</v>
      </c>
      <c r="S134" s="11" t="s">
        <v>498</v>
      </c>
      <c r="T134" s="12"/>
      <c r="U134" s="10" t="str">
        <f>HYPERLINK("https://pbs.twimg.com/profile_images/913700935603499008/ifTjXKGZ.jpg","View")</f>
        <v>View</v>
      </c>
    </row>
    <row r="135" spans="1:21" ht="102">
      <c r="A135" s="6">
        <v>43427.447453703702</v>
      </c>
      <c r="B135" s="7" t="str">
        <f>HYPERLINK("https://twitter.com/RuthIliana46","@RuthIliana46")</f>
        <v>@RuthIliana46</v>
      </c>
      <c r="C135" s="8" t="s">
        <v>437</v>
      </c>
      <c r="D135" s="9" t="s">
        <v>501</v>
      </c>
      <c r="E135" s="10" t="str">
        <f>HYPERLINK("https://twitter.com/RuthIliana46/status/1065903869417406464","1065903869417406464")</f>
        <v>1065903869417406464</v>
      </c>
      <c r="F135" s="16" t="s">
        <v>502</v>
      </c>
      <c r="G135" s="12"/>
      <c r="H135" s="12"/>
      <c r="I135" s="13">
        <v>5</v>
      </c>
      <c r="J135" s="13">
        <v>6</v>
      </c>
      <c r="K135" s="14" t="str">
        <f>HYPERLINK("http://twitter.com/download/android","Twitter for Android")</f>
        <v>Twitter for Android</v>
      </c>
      <c r="L135" s="13">
        <v>4287</v>
      </c>
      <c r="M135" s="13">
        <v>4178</v>
      </c>
      <c r="N135" s="13">
        <v>483</v>
      </c>
      <c r="O135" s="15"/>
      <c r="P135" s="6">
        <v>41235.80333333333</v>
      </c>
      <c r="Q135" s="16" t="s">
        <v>440</v>
      </c>
      <c r="R135" s="17" t="s">
        <v>441</v>
      </c>
      <c r="S135" s="11" t="s">
        <v>442</v>
      </c>
      <c r="T135" s="12"/>
      <c r="U135" s="10" t="str">
        <f>HYPERLINK("https://pbs.twimg.com/profile_images/976118533162721287/GaSph7A7.jpg","View")</f>
        <v>View</v>
      </c>
    </row>
    <row r="136" spans="1:21" ht="30.6">
      <c r="A136" s="6">
        <v>43427.447349537033</v>
      </c>
      <c r="B136" s="7" t="str">
        <f>HYPERLINK("https://twitter.com/cmc_dts","@cmc_dts")</f>
        <v>@cmc_dts</v>
      </c>
      <c r="C136" s="8" t="s">
        <v>814</v>
      </c>
      <c r="D136" s="9" t="s">
        <v>815</v>
      </c>
      <c r="E136" s="10" t="str">
        <f>HYPERLINK("https://twitter.com/cmc_dts/status/1065903831475806209","1065903831475806209")</f>
        <v>1065903831475806209</v>
      </c>
      <c r="F136" s="11" t="s">
        <v>817</v>
      </c>
      <c r="G136" s="11" t="s">
        <v>818</v>
      </c>
      <c r="H136" s="12"/>
      <c r="I136" s="13">
        <v>1</v>
      </c>
      <c r="J136" s="13">
        <v>1</v>
      </c>
      <c r="K136" s="14" t="str">
        <f>HYPERLINK("http://twitter.com/download/iphone","Twitter for iPhone")</f>
        <v>Twitter for iPhone</v>
      </c>
      <c r="L136" s="13">
        <v>196</v>
      </c>
      <c r="M136" s="13">
        <v>638</v>
      </c>
      <c r="N136" s="13">
        <v>1</v>
      </c>
      <c r="O136" s="15"/>
      <c r="P136" s="6">
        <v>42875.033750000002</v>
      </c>
      <c r="Q136" s="12"/>
      <c r="R136" s="17" t="s">
        <v>821</v>
      </c>
      <c r="S136" s="12"/>
      <c r="T136" s="12"/>
      <c r="U136" s="10" t="str">
        <f>HYPERLINK("https://pbs.twimg.com/profile_images/1058025764506005505/XdU7Np36.jpg","View")</f>
        <v>View</v>
      </c>
    </row>
    <row r="137" spans="1:21" ht="30.6">
      <c r="A137" s="6">
        <v>43427.444537037038</v>
      </c>
      <c r="B137" s="7" t="str">
        <f>HYPERLINK("https://twitter.com/CsRegionMurcia","@CsRegionMurcia")</f>
        <v>@CsRegionMurcia</v>
      </c>
      <c r="C137" s="8" t="s">
        <v>825</v>
      </c>
      <c r="D137" s="9" t="s">
        <v>826</v>
      </c>
      <c r="E137" s="10" t="str">
        <f>HYPERLINK("https://twitter.com/CsRegionMurcia/status/1065902813157429249","1065902813157429249")</f>
        <v>1065902813157429249</v>
      </c>
      <c r="F137" s="11" t="s">
        <v>827</v>
      </c>
      <c r="G137" s="11" t="s">
        <v>828</v>
      </c>
      <c r="H137" s="12"/>
      <c r="I137" s="13">
        <v>2</v>
      </c>
      <c r="J137" s="13">
        <v>1</v>
      </c>
      <c r="K137" s="14" t="str">
        <f>HYPERLINK("https://www.hootsuite.com","Hootsuite Inc.")</f>
        <v>Hootsuite Inc.</v>
      </c>
      <c r="L137" s="13">
        <v>6225</v>
      </c>
      <c r="M137" s="13">
        <v>1108</v>
      </c>
      <c r="N137" s="13">
        <v>96</v>
      </c>
      <c r="O137" s="18" t="s">
        <v>36</v>
      </c>
      <c r="P137" s="6">
        <v>40745.431666666671</v>
      </c>
      <c r="Q137" s="16" t="s">
        <v>832</v>
      </c>
      <c r="R137" s="17" t="s">
        <v>833</v>
      </c>
      <c r="S137" s="11" t="s">
        <v>473</v>
      </c>
      <c r="T137" s="12"/>
      <c r="U137" s="10" t="str">
        <f>HYPERLINK("https://pbs.twimg.com/profile_images/1053559144299614208/SFwaZPxU.jpg","View")</f>
        <v>View</v>
      </c>
    </row>
    <row r="138" spans="1:21" ht="102">
      <c r="A138" s="6">
        <v>43427.44122685185</v>
      </c>
      <c r="B138" s="7" t="str">
        <f>HYPERLINK("https://twitter.com/RuthIliana46","@RuthIliana46")</f>
        <v>@RuthIliana46</v>
      </c>
      <c r="C138" s="8" t="s">
        <v>437</v>
      </c>
      <c r="D138" s="9" t="s">
        <v>503</v>
      </c>
      <c r="E138" s="10" t="str">
        <f>HYPERLINK("https://twitter.com/RuthIliana46/status/1065901613527822336","1065901613527822336")</f>
        <v>1065901613527822336</v>
      </c>
      <c r="F138" s="16" t="s">
        <v>504</v>
      </c>
      <c r="G138" s="12"/>
      <c r="H138" s="12"/>
      <c r="I138" s="13">
        <v>5</v>
      </c>
      <c r="J138" s="13">
        <v>6</v>
      </c>
      <c r="K138" s="14" t="str">
        <f>HYPERLINK("http://twitter.com/download/android","Twitter for Android")</f>
        <v>Twitter for Android</v>
      </c>
      <c r="L138" s="13">
        <v>4287</v>
      </c>
      <c r="M138" s="13">
        <v>4178</v>
      </c>
      <c r="N138" s="13">
        <v>483</v>
      </c>
      <c r="O138" s="15"/>
      <c r="P138" s="6">
        <v>41235.80333333333</v>
      </c>
      <c r="Q138" s="16" t="s">
        <v>440</v>
      </c>
      <c r="R138" s="17" t="s">
        <v>441</v>
      </c>
      <c r="S138" s="11" t="s">
        <v>442</v>
      </c>
      <c r="T138" s="12"/>
      <c r="U138" s="10" t="str">
        <f>HYPERLINK("https://pbs.twimg.com/profile_images/976118533162721287/GaSph7A7.jpg","View")</f>
        <v>View</v>
      </c>
    </row>
    <row r="139" spans="1:21" ht="30.6">
      <c r="A139" s="6">
        <v>43427.439699074079</v>
      </c>
      <c r="B139" s="7" t="str">
        <f>HYPERLINK("https://twitter.com/SmOOG2o11","@SmOOG2o11")</f>
        <v>@SmOOG2o11</v>
      </c>
      <c r="C139" s="8" t="s">
        <v>837</v>
      </c>
      <c r="D139" s="9" t="s">
        <v>838</v>
      </c>
      <c r="E139" s="10" t="str">
        <f>HYPERLINK("https://twitter.com/SmOOG2o11/status/1065901058407440384","1065901058407440384")</f>
        <v>1065901058407440384</v>
      </c>
      <c r="F139" s="11" t="s">
        <v>839</v>
      </c>
      <c r="G139" s="12"/>
      <c r="H139" s="12"/>
      <c r="I139" s="13">
        <v>0</v>
      </c>
      <c r="J139" s="13">
        <v>0</v>
      </c>
      <c r="K139" s="14" t="str">
        <f>HYPERLINK("https://www.google.com/","Google")</f>
        <v>Google</v>
      </c>
      <c r="L139" s="13">
        <v>573</v>
      </c>
      <c r="M139" s="13">
        <v>2229</v>
      </c>
      <c r="N139" s="13">
        <v>14</v>
      </c>
      <c r="O139" s="15"/>
      <c r="P139" s="6">
        <v>40590.035046296296</v>
      </c>
      <c r="Q139" s="16" t="s">
        <v>189</v>
      </c>
      <c r="R139" s="19"/>
      <c r="S139" s="12"/>
      <c r="T139" s="12"/>
      <c r="U139" s="10" t="str">
        <f>HYPERLINK("https://pbs.twimg.com/profile_images/947991267992068098/R-qM7bht.jpg","View")</f>
        <v>View</v>
      </c>
    </row>
    <row r="140" spans="1:21" ht="20.399999999999999">
      <c r="A140" s="6">
        <v>43427.438668981486</v>
      </c>
      <c r="B140" s="7" t="str">
        <f>HYPERLINK("https://twitter.com/hoyganoyo69","@hoyganoyo69")</f>
        <v>@hoyganoyo69</v>
      </c>
      <c r="C140" s="8" t="s">
        <v>843</v>
      </c>
      <c r="D140" s="9" t="s">
        <v>845</v>
      </c>
      <c r="E140" s="10" t="str">
        <f>HYPERLINK("https://twitter.com/hoyganoyo69/status/1065900684107816961","1065900684107816961")</f>
        <v>1065900684107816961</v>
      </c>
      <c r="F140" s="11" t="s">
        <v>616</v>
      </c>
      <c r="G140" s="12"/>
      <c r="H140" s="12"/>
      <c r="I140" s="13">
        <v>0</v>
      </c>
      <c r="J140" s="13">
        <v>0</v>
      </c>
      <c r="K140" s="14" t="str">
        <f t="shared" ref="K140:K145" si="33">HYPERLINK("http://twitter.com/download/android","Twitter for Android")</f>
        <v>Twitter for Android</v>
      </c>
      <c r="L140" s="13">
        <v>89</v>
      </c>
      <c r="M140" s="13">
        <v>159</v>
      </c>
      <c r="N140" s="13">
        <v>0</v>
      </c>
      <c r="O140" s="15"/>
      <c r="P140" s="6">
        <v>41602.833472222221</v>
      </c>
      <c r="Q140" s="12"/>
      <c r="R140" s="17" t="s">
        <v>847</v>
      </c>
      <c r="S140" s="12"/>
      <c r="T140" s="12"/>
      <c r="U140" s="10" t="str">
        <f>HYPERLINK("https://pbs.twimg.com/profile_images/1057929309845946369/3GIB8APT.jpg","View")</f>
        <v>View</v>
      </c>
    </row>
    <row r="141" spans="1:21" ht="20.399999999999999">
      <c r="A141" s="6">
        <v>43427.432858796295</v>
      </c>
      <c r="B141" s="7" t="str">
        <f>HYPERLINK("https://twitter.com/JBGarridoF1","@JBGarridoF1")</f>
        <v>@JBGarridoF1</v>
      </c>
      <c r="C141" s="8" t="s">
        <v>505</v>
      </c>
      <c r="D141" s="9" t="s">
        <v>506</v>
      </c>
      <c r="E141" s="10" t="str">
        <f>HYPERLINK("https://twitter.com/JBGarridoF1/status/1065898580576268288","1065898580576268288")</f>
        <v>1065898580576268288</v>
      </c>
      <c r="F141" s="12"/>
      <c r="G141" s="11" t="s">
        <v>507</v>
      </c>
      <c r="H141" s="12"/>
      <c r="I141" s="13">
        <v>0</v>
      </c>
      <c r="J141" s="13">
        <v>1</v>
      </c>
      <c r="K141" s="14" t="str">
        <f t="shared" si="33"/>
        <v>Twitter for Android</v>
      </c>
      <c r="L141" s="13">
        <v>528</v>
      </c>
      <c r="M141" s="13">
        <v>1007</v>
      </c>
      <c r="N141" s="13">
        <v>37</v>
      </c>
      <c r="O141" s="15"/>
      <c r="P141" s="6">
        <v>40942.896006944444</v>
      </c>
      <c r="Q141" s="16" t="s">
        <v>508</v>
      </c>
      <c r="R141" s="17" t="s">
        <v>509</v>
      </c>
      <c r="S141" s="12"/>
      <c r="T141" s="12"/>
      <c r="U141" s="10" t="str">
        <f>HYPERLINK("https://pbs.twimg.com/profile_images/1010142266529378304/6-M8qYgz.jpg","View")</f>
        <v>View</v>
      </c>
    </row>
    <row r="142" spans="1:21" ht="40.799999999999997">
      <c r="A142" s="6">
        <v>43427.430300925931</v>
      </c>
      <c r="B142" s="7" t="str">
        <f>HYPERLINK("https://twitter.com/angeljal","@angeljal")</f>
        <v>@angeljal</v>
      </c>
      <c r="C142" s="8" t="s">
        <v>510</v>
      </c>
      <c r="D142" s="9" t="s">
        <v>511</v>
      </c>
      <c r="E142" s="10" t="str">
        <f>HYPERLINK("https://twitter.com/angeljal/status/1065897653995745281","1065897653995745281")</f>
        <v>1065897653995745281</v>
      </c>
      <c r="F142" s="12"/>
      <c r="G142" s="12"/>
      <c r="H142" s="12"/>
      <c r="I142" s="13">
        <v>0</v>
      </c>
      <c r="J142" s="13">
        <v>0</v>
      </c>
      <c r="K142" s="14" t="str">
        <f t="shared" si="33"/>
        <v>Twitter for Android</v>
      </c>
      <c r="L142" s="13">
        <v>605</v>
      </c>
      <c r="M142" s="13">
        <v>1419</v>
      </c>
      <c r="N142" s="13">
        <v>20</v>
      </c>
      <c r="O142" s="15"/>
      <c r="P142" s="6">
        <v>40196.715798611112</v>
      </c>
      <c r="Q142" s="16" t="s">
        <v>512</v>
      </c>
      <c r="R142" s="17" t="s">
        <v>513</v>
      </c>
      <c r="S142" s="11" t="s">
        <v>514</v>
      </c>
      <c r="T142" s="12"/>
      <c r="U142" s="10" t="str">
        <f>HYPERLINK("https://pbs.twimg.com/profile_images/984139788100997120/zDm5_uDm.jpg","View")</f>
        <v>View</v>
      </c>
    </row>
    <row r="143" spans="1:21" ht="61.2">
      <c r="A143" s="6">
        <v>43427.429907407408</v>
      </c>
      <c r="B143" s="7" t="str">
        <f>HYPERLINK("https://twitter.com/lunadebenidorm","@lunadebenidorm")</f>
        <v>@lunadebenidorm</v>
      </c>
      <c r="C143" s="8" t="s">
        <v>517</v>
      </c>
      <c r="D143" s="9" t="s">
        <v>518</v>
      </c>
      <c r="E143" s="10" t="str">
        <f>HYPERLINK("https://twitter.com/lunadebenidorm/status/1065897508994510848","1065897508994510848")</f>
        <v>1065897508994510848</v>
      </c>
      <c r="F143" s="12"/>
      <c r="G143" s="12"/>
      <c r="H143" s="12"/>
      <c r="I143" s="13">
        <v>0</v>
      </c>
      <c r="J143" s="13">
        <v>1</v>
      </c>
      <c r="K143" s="14" t="str">
        <f t="shared" si="33"/>
        <v>Twitter for Android</v>
      </c>
      <c r="L143" s="13">
        <v>3991</v>
      </c>
      <c r="M143" s="13">
        <v>3978</v>
      </c>
      <c r="N143" s="13">
        <v>79</v>
      </c>
      <c r="O143" s="15"/>
      <c r="P143" s="6">
        <v>41461.81186342593</v>
      </c>
      <c r="Q143" s="12"/>
      <c r="R143" s="17" t="s">
        <v>519</v>
      </c>
      <c r="S143" s="12"/>
      <c r="T143" s="12"/>
      <c r="U143" s="10" t="str">
        <f>HYPERLINK("https://pbs.twimg.com/profile_images/1061229593758257153/rePCQt08.jpg","View")</f>
        <v>View</v>
      </c>
    </row>
    <row r="144" spans="1:21" ht="51">
      <c r="A144" s="6">
        <v>43427.427812499998</v>
      </c>
      <c r="B144" s="7" t="str">
        <f>HYPERLINK("https://twitter.com/RuthIliana46","@RuthIliana46")</f>
        <v>@RuthIliana46</v>
      </c>
      <c r="C144" s="8" t="s">
        <v>437</v>
      </c>
      <c r="D144" s="9" t="s">
        <v>523</v>
      </c>
      <c r="E144" s="10" t="str">
        <f>HYPERLINK("https://twitter.com/RuthIliana46/status/1065896751612211203","1065896751612211203")</f>
        <v>1065896751612211203</v>
      </c>
      <c r="F144" s="12"/>
      <c r="G144" s="12"/>
      <c r="H144" s="12"/>
      <c r="I144" s="13">
        <v>5</v>
      </c>
      <c r="J144" s="13">
        <v>6</v>
      </c>
      <c r="K144" s="14" t="str">
        <f t="shared" si="33"/>
        <v>Twitter for Android</v>
      </c>
      <c r="L144" s="13">
        <v>4287</v>
      </c>
      <c r="M144" s="13">
        <v>4178</v>
      </c>
      <c r="N144" s="13">
        <v>483</v>
      </c>
      <c r="O144" s="15"/>
      <c r="P144" s="6">
        <v>41235.80333333333</v>
      </c>
      <c r="Q144" s="16" t="s">
        <v>440</v>
      </c>
      <c r="R144" s="17" t="s">
        <v>441</v>
      </c>
      <c r="S144" s="11" t="s">
        <v>442</v>
      </c>
      <c r="T144" s="12"/>
      <c r="U144" s="10" t="str">
        <f>HYPERLINK("https://pbs.twimg.com/profile_images/976118533162721287/GaSph7A7.jpg","View")</f>
        <v>View</v>
      </c>
    </row>
    <row r="145" spans="1:21" ht="51">
      <c r="A145" s="6">
        <v>43427.426423611112</v>
      </c>
      <c r="B145" s="7" t="str">
        <f>HYPERLINK("https://twitter.com/mariteremoto","@mariteremoto")</f>
        <v>@mariteremoto</v>
      </c>
      <c r="C145" s="8" t="s">
        <v>524</v>
      </c>
      <c r="D145" s="9" t="s">
        <v>525</v>
      </c>
      <c r="E145" s="10" t="str">
        <f>HYPERLINK("https://twitter.com/mariteremoto/status/1065896249352691713","1065896249352691713")</f>
        <v>1065896249352691713</v>
      </c>
      <c r="F145" s="12"/>
      <c r="G145" s="12"/>
      <c r="H145" s="12"/>
      <c r="I145" s="13">
        <v>3</v>
      </c>
      <c r="J145" s="13">
        <v>4</v>
      </c>
      <c r="K145" s="14" t="str">
        <f t="shared" si="33"/>
        <v>Twitter for Android</v>
      </c>
      <c r="L145" s="13">
        <v>1199</v>
      </c>
      <c r="M145" s="13">
        <v>448</v>
      </c>
      <c r="N145" s="13">
        <v>60</v>
      </c>
      <c r="O145" s="15"/>
      <c r="P145" s="6">
        <v>40853.553159722222</v>
      </c>
      <c r="Q145" s="16" t="s">
        <v>496</v>
      </c>
      <c r="R145" s="17" t="s">
        <v>528</v>
      </c>
      <c r="S145" s="12"/>
      <c r="T145" s="12"/>
      <c r="U145" s="10" t="str">
        <f>HYPERLINK("https://pbs.twimg.com/profile_images/539871709667790848/IWbTmB0i.jpeg","View")</f>
        <v>View</v>
      </c>
    </row>
    <row r="146" spans="1:21" ht="81.599999999999994">
      <c r="A146" s="6">
        <v>43427.426053240742</v>
      </c>
      <c r="B146" s="7" t="str">
        <f>HYPERLINK("https://twitter.com/editubau","@editubau")</f>
        <v>@editubau</v>
      </c>
      <c r="C146" s="8" t="s">
        <v>531</v>
      </c>
      <c r="D146" s="9" t="s">
        <v>532</v>
      </c>
      <c r="E146" s="10" t="str">
        <f>HYPERLINK("https://twitter.com/editubau/status/1065896114606538752","1065896114606538752")</f>
        <v>1065896114606538752</v>
      </c>
      <c r="F146" s="11" t="s">
        <v>533</v>
      </c>
      <c r="G146" s="11" t="s">
        <v>415</v>
      </c>
      <c r="H146" s="12"/>
      <c r="I146" s="13">
        <v>0</v>
      </c>
      <c r="J146" s="13">
        <v>2</v>
      </c>
      <c r="K146" s="14" t="str">
        <f>HYPERLINK("http://twitter.com/download/iphone","Twitter for iPhone")</f>
        <v>Twitter for iPhone</v>
      </c>
      <c r="L146" s="13">
        <v>1895</v>
      </c>
      <c r="M146" s="13">
        <v>488</v>
      </c>
      <c r="N146" s="13">
        <v>66</v>
      </c>
      <c r="O146" s="15"/>
      <c r="P146" s="6">
        <v>40554.964525462965</v>
      </c>
      <c r="Q146" s="16" t="s">
        <v>536</v>
      </c>
      <c r="R146" s="17" t="s">
        <v>537</v>
      </c>
      <c r="S146" s="12"/>
      <c r="T146" s="12"/>
      <c r="U146" s="10" t="str">
        <f>HYPERLINK("https://pbs.twimg.com/profile_images/516320935662866432/LyHKF49U.jpeg","View")</f>
        <v>View</v>
      </c>
    </row>
    <row r="147" spans="1:21" ht="51">
      <c r="A147" s="6">
        <v>43427.418703703705</v>
      </c>
      <c r="B147" s="7" t="str">
        <f>HYPERLINK("https://twitter.com/ramixgz","@ramixgz")</f>
        <v>@ramixgz</v>
      </c>
      <c r="C147" s="8" t="s">
        <v>540</v>
      </c>
      <c r="D147" s="9" t="s">
        <v>541</v>
      </c>
      <c r="E147" s="10" t="str">
        <f>HYPERLINK("https://twitter.com/ramixgz/status/1065893450321678336","1065893450321678336")</f>
        <v>1065893450321678336</v>
      </c>
      <c r="F147" s="16" t="s">
        <v>544</v>
      </c>
      <c r="G147" s="12"/>
      <c r="H147" s="12"/>
      <c r="I147" s="13">
        <v>1</v>
      </c>
      <c r="J147" s="13">
        <v>1</v>
      </c>
      <c r="K147" s="14" t="str">
        <f>HYPERLINK("http://tapbots.com/tweetbot","Tweetbot for iΟS")</f>
        <v>Tweetbot for iΟS</v>
      </c>
      <c r="L147" s="13">
        <v>275</v>
      </c>
      <c r="M147" s="13">
        <v>246</v>
      </c>
      <c r="N147" s="13">
        <v>8</v>
      </c>
      <c r="O147" s="15"/>
      <c r="P147" s="6">
        <v>39680.938391203701</v>
      </c>
      <c r="Q147" s="11" t="s">
        <v>546</v>
      </c>
      <c r="R147" s="17" t="s">
        <v>547</v>
      </c>
      <c r="S147" s="12"/>
      <c r="T147" s="12"/>
      <c r="U147" s="10" t="str">
        <f>HYPERLINK("https://pbs.twimg.com/profile_images/973187115218558976/S3Or0MwC.jpg","View")</f>
        <v>View</v>
      </c>
    </row>
    <row r="148" spans="1:21" ht="40.799999999999997">
      <c r="A148" s="6">
        <v>43427.414930555555</v>
      </c>
      <c r="B148" s="7" t="str">
        <f>HYPERLINK("https://twitter.com/luisbeltri","@luisbeltri")</f>
        <v>@luisbeltri</v>
      </c>
      <c r="C148" s="8" t="s">
        <v>205</v>
      </c>
      <c r="D148" s="9" t="s">
        <v>549</v>
      </c>
      <c r="E148" s="10" t="str">
        <f>HYPERLINK("https://twitter.com/luisbeltri/status/1065892081619607557","1065892081619607557")</f>
        <v>1065892081619607557</v>
      </c>
      <c r="F148" s="12"/>
      <c r="G148" s="12"/>
      <c r="H148" s="12"/>
      <c r="I148" s="13">
        <v>0</v>
      </c>
      <c r="J148" s="13">
        <v>3</v>
      </c>
      <c r="K148" s="14" t="str">
        <f>HYPERLINK("http://twitter.com/download/android","Twitter for Android")</f>
        <v>Twitter for Android</v>
      </c>
      <c r="L148" s="13">
        <v>28078</v>
      </c>
      <c r="M148" s="13">
        <v>18407</v>
      </c>
      <c r="N148" s="13">
        <v>195</v>
      </c>
      <c r="O148" s="15"/>
      <c r="P148" s="6">
        <v>40018.954016203701</v>
      </c>
      <c r="Q148" s="16" t="s">
        <v>208</v>
      </c>
      <c r="R148" s="17" t="s">
        <v>209</v>
      </c>
      <c r="S148" s="12"/>
      <c r="T148" s="12"/>
      <c r="U148" s="10" t="str">
        <f>HYPERLINK("https://pbs.twimg.com/profile_images/1028220595404787712/uTQd5ZiU.jpg","View")</f>
        <v>View</v>
      </c>
    </row>
    <row r="149" spans="1:21" ht="51">
      <c r="A149" s="6">
        <v>43427.412800925929</v>
      </c>
      <c r="B149" s="7" t="str">
        <f>HYPERLINK("https://twitter.com/antonluca_cuoco","@antonluca_cuoco")</f>
        <v>@antonluca_cuoco</v>
      </c>
      <c r="C149" s="8" t="s">
        <v>552</v>
      </c>
      <c r="D149" s="9" t="s">
        <v>553</v>
      </c>
      <c r="E149" s="10" t="str">
        <f>HYPERLINK("https://twitter.com/antonluca_cuoco/status/1065891309548961792","1065891309548961792")</f>
        <v>1065891309548961792</v>
      </c>
      <c r="F149" s="11" t="s">
        <v>554</v>
      </c>
      <c r="G149" s="12"/>
      <c r="H149" s="12"/>
      <c r="I149" s="13">
        <v>1</v>
      </c>
      <c r="J149" s="13">
        <v>1</v>
      </c>
      <c r="K149" s="14" t="str">
        <f t="shared" ref="K149:K150" si="34">HYPERLINK("http://twitter.com","Twitter Web Client")</f>
        <v>Twitter Web Client</v>
      </c>
      <c r="L149" s="13">
        <v>2609</v>
      </c>
      <c r="M149" s="13">
        <v>3785</v>
      </c>
      <c r="N149" s="13">
        <v>165</v>
      </c>
      <c r="O149" s="15"/>
      <c r="P149" s="6">
        <v>40974.72142361111</v>
      </c>
      <c r="Q149" s="12"/>
      <c r="R149" s="17" t="s">
        <v>558</v>
      </c>
      <c r="S149" s="12"/>
      <c r="T149" s="12"/>
      <c r="U149" s="10" t="str">
        <f>HYPERLINK("https://pbs.twimg.com/profile_images/516859387902586880/bw1GFoKQ.jpeg","View")</f>
        <v>View</v>
      </c>
    </row>
    <row r="150" spans="1:21" ht="30.6">
      <c r="A150" s="6">
        <v>43427.412303240737</v>
      </c>
      <c r="B150" s="7" t="str">
        <f>HYPERLINK("https://twitter.com/VdeRuben","@VdeRuben")</f>
        <v>@VdeRuben</v>
      </c>
      <c r="C150" s="8" t="s">
        <v>995</v>
      </c>
      <c r="D150" s="9" t="s">
        <v>996</v>
      </c>
      <c r="E150" s="10" t="str">
        <f>HYPERLINK("https://twitter.com/VdeRuben/status/1065891129680384000","1065891129680384000")</f>
        <v>1065891129680384000</v>
      </c>
      <c r="F150" s="12"/>
      <c r="G150" s="11" t="s">
        <v>997</v>
      </c>
      <c r="H150" s="12"/>
      <c r="I150" s="13">
        <v>0</v>
      </c>
      <c r="J150" s="13">
        <v>0</v>
      </c>
      <c r="K150" s="14" t="str">
        <f t="shared" si="34"/>
        <v>Twitter Web Client</v>
      </c>
      <c r="L150" s="13">
        <v>2082</v>
      </c>
      <c r="M150" s="13">
        <v>605</v>
      </c>
      <c r="N150" s="13">
        <v>34</v>
      </c>
      <c r="O150" s="15"/>
      <c r="P150" s="6">
        <v>41044.432314814811</v>
      </c>
      <c r="Q150" s="16" t="s">
        <v>998</v>
      </c>
      <c r="R150" s="17" t="s">
        <v>999</v>
      </c>
      <c r="S150" s="12"/>
      <c r="T150" s="12"/>
      <c r="U150" s="10" t="str">
        <f>HYPERLINK("https://pbs.twimg.com/profile_images/897131882210570273/ztVs4LG1.jpg","View")</f>
        <v>View</v>
      </c>
    </row>
    <row r="151" spans="1:21" ht="40.799999999999997">
      <c r="A151" s="6">
        <v>43427.411192129628</v>
      </c>
      <c r="B151" s="7" t="str">
        <f>HYPERLINK("https://twitter.com/gigahertz_es","@gigahertz_es")</f>
        <v>@gigahertz_es</v>
      </c>
      <c r="C151" s="8" t="s">
        <v>1004</v>
      </c>
      <c r="D151" s="9" t="s">
        <v>1005</v>
      </c>
      <c r="E151" s="10" t="str">
        <f>HYPERLINK("https://twitter.com/gigahertz_es/status/1065890728423903232","1065890728423903232")</f>
        <v>1065890728423903232</v>
      </c>
      <c r="F151" s="11" t="s">
        <v>1006</v>
      </c>
      <c r="G151" s="12"/>
      <c r="H151" s="12"/>
      <c r="I151" s="13">
        <v>0</v>
      </c>
      <c r="J151" s="13">
        <v>0</v>
      </c>
      <c r="K151" s="14" t="str">
        <f>HYPERLINK("http://www.facebook.com/twitter","Facebook")</f>
        <v>Facebook</v>
      </c>
      <c r="L151" s="13">
        <v>612</v>
      </c>
      <c r="M151" s="13">
        <v>276</v>
      </c>
      <c r="N151" s="13">
        <v>14</v>
      </c>
      <c r="O151" s="15"/>
      <c r="P151" s="6">
        <v>40205.313518518517</v>
      </c>
      <c r="Q151" s="16" t="s">
        <v>1010</v>
      </c>
      <c r="R151" s="17" t="s">
        <v>1011</v>
      </c>
      <c r="S151" s="11" t="s">
        <v>1012</v>
      </c>
      <c r="T151" s="12"/>
      <c r="U151" s="10" t="str">
        <f>HYPERLINK("https://pbs.twimg.com/profile_images/460081916448763905/FOr_f-2i.jpeg","View")</f>
        <v>View</v>
      </c>
    </row>
    <row r="152" spans="1:21" ht="51">
      <c r="A152" s="6">
        <v>43427.405324074076</v>
      </c>
      <c r="B152" s="7" t="str">
        <f>HYPERLINK("https://twitter.com/luisbeltri","@luisbeltri")</f>
        <v>@luisbeltri</v>
      </c>
      <c r="C152" s="8" t="s">
        <v>205</v>
      </c>
      <c r="D152" s="9" t="s">
        <v>560</v>
      </c>
      <c r="E152" s="10" t="str">
        <f>HYPERLINK("https://twitter.com/luisbeltri/status/1065888601895043078","1065888601895043078")</f>
        <v>1065888601895043078</v>
      </c>
      <c r="F152" s="12"/>
      <c r="G152" s="11" t="s">
        <v>561</v>
      </c>
      <c r="H152" s="12"/>
      <c r="I152" s="13">
        <v>7</v>
      </c>
      <c r="J152" s="13">
        <v>13</v>
      </c>
      <c r="K152" s="14" t="str">
        <f>HYPERLINK("http://twitter.com/download/android","Twitter for Android")</f>
        <v>Twitter for Android</v>
      </c>
      <c r="L152" s="13">
        <v>28078</v>
      </c>
      <c r="M152" s="13">
        <v>18407</v>
      </c>
      <c r="N152" s="13">
        <v>195</v>
      </c>
      <c r="O152" s="15"/>
      <c r="P152" s="6">
        <v>40018.954016203701</v>
      </c>
      <c r="Q152" s="16" t="s">
        <v>208</v>
      </c>
      <c r="R152" s="17" t="s">
        <v>209</v>
      </c>
      <c r="S152" s="12"/>
      <c r="T152" s="12"/>
      <c r="U152" s="10" t="str">
        <f>HYPERLINK("https://pbs.twimg.com/profile_images/1028220595404787712/uTQd5ZiU.jpg","View")</f>
        <v>View</v>
      </c>
    </row>
    <row r="153" spans="1:21" ht="30.6">
      <c r="A153" s="6">
        <v>43427.403310185182</v>
      </c>
      <c r="B153" s="7" t="str">
        <f>HYPERLINK("https://twitter.com/Miguel_H_C","@Miguel_H_C")</f>
        <v>@Miguel_H_C</v>
      </c>
      <c r="C153" s="8" t="s">
        <v>347</v>
      </c>
      <c r="D153" s="9" t="s">
        <v>562</v>
      </c>
      <c r="E153" s="10" t="str">
        <f>HYPERLINK("https://twitter.com/Miguel_H_C/status/1065887870492319745","1065887870492319745")</f>
        <v>1065887870492319745</v>
      </c>
      <c r="F153" s="12"/>
      <c r="G153" s="11" t="s">
        <v>563</v>
      </c>
      <c r="H153" s="12"/>
      <c r="I153" s="13">
        <v>0</v>
      </c>
      <c r="J153" s="13">
        <v>0</v>
      </c>
      <c r="K153" s="14" t="str">
        <f t="shared" ref="K153:K156" si="35">HYPERLINK("http://twitter.com","Twitter Web Client")</f>
        <v>Twitter Web Client</v>
      </c>
      <c r="L153" s="13">
        <v>826</v>
      </c>
      <c r="M153" s="13">
        <v>349</v>
      </c>
      <c r="N153" s="13">
        <v>8</v>
      </c>
      <c r="O153" s="15"/>
      <c r="P153" s="6">
        <v>40816.839016203703</v>
      </c>
      <c r="Q153" s="16" t="s">
        <v>351</v>
      </c>
      <c r="R153" s="19"/>
      <c r="S153" s="12"/>
      <c r="T153" s="12"/>
      <c r="U153" s="10" t="str">
        <f>HYPERLINK("https://pbs.twimg.com/profile_images/997011182736302081/6PYtWK2Y.jpg","View")</f>
        <v>View</v>
      </c>
    </row>
    <row r="154" spans="1:21" ht="51">
      <c r="A154" s="6">
        <v>43427.401562500003</v>
      </c>
      <c r="B154" s="7" t="str">
        <f>HYPERLINK("https://twitter.com/diariobalear_es","@diariobalear_es")</f>
        <v>@diariobalear_es</v>
      </c>
      <c r="C154" s="8" t="s">
        <v>564</v>
      </c>
      <c r="D154" s="9" t="s">
        <v>565</v>
      </c>
      <c r="E154" s="10" t="str">
        <f>HYPERLINK("https://twitter.com/diariobalear_es/status/1065887237294960640","1065887237294960640")</f>
        <v>1065887237294960640</v>
      </c>
      <c r="F154" s="11" t="s">
        <v>568</v>
      </c>
      <c r="G154" s="12"/>
      <c r="H154" s="12"/>
      <c r="I154" s="13">
        <v>3</v>
      </c>
      <c r="J154" s="13">
        <v>5</v>
      </c>
      <c r="K154" s="14" t="str">
        <f t="shared" si="35"/>
        <v>Twitter Web Client</v>
      </c>
      <c r="L154" s="13">
        <v>3196</v>
      </c>
      <c r="M154" s="13">
        <v>347</v>
      </c>
      <c r="N154" s="13">
        <v>71</v>
      </c>
      <c r="O154" s="15"/>
      <c r="P154" s="6">
        <v>41694.754687499997</v>
      </c>
      <c r="Q154" s="16" t="s">
        <v>569</v>
      </c>
      <c r="R154" s="17" t="s">
        <v>570</v>
      </c>
      <c r="S154" s="11" t="s">
        <v>571</v>
      </c>
      <c r="T154" s="12"/>
      <c r="U154" s="10" t="str">
        <f>HYPERLINK("https://pbs.twimg.com/profile_images/992417277797597184/28OVRjFF.jpg","View")</f>
        <v>View</v>
      </c>
    </row>
    <row r="155" spans="1:21" ht="20.399999999999999">
      <c r="A155" s="6">
        <v>43427.40116898148</v>
      </c>
      <c r="B155" s="7" t="str">
        <f>HYPERLINK("https://twitter.com/SumusVeritae","@SumusVeritae")</f>
        <v>@SumusVeritae</v>
      </c>
      <c r="C155" s="8" t="s">
        <v>574</v>
      </c>
      <c r="D155" s="9" t="s">
        <v>575</v>
      </c>
      <c r="E155" s="10" t="str">
        <f>HYPERLINK("https://twitter.com/SumusVeritae/status/1065887095930187776","1065887095930187776")</f>
        <v>1065887095930187776</v>
      </c>
      <c r="F155" s="12"/>
      <c r="G155" s="11" t="s">
        <v>578</v>
      </c>
      <c r="H155" s="12"/>
      <c r="I155" s="13">
        <v>0</v>
      </c>
      <c r="J155" s="13">
        <v>0</v>
      </c>
      <c r="K155" s="14" t="str">
        <f t="shared" si="35"/>
        <v>Twitter Web Client</v>
      </c>
      <c r="L155" s="13">
        <v>22</v>
      </c>
      <c r="M155" s="13">
        <v>50</v>
      </c>
      <c r="N155" s="13">
        <v>1</v>
      </c>
      <c r="O155" s="15"/>
      <c r="P155" s="6">
        <v>42646.628414351857</v>
      </c>
      <c r="Q155" s="12"/>
      <c r="R155" s="19"/>
      <c r="S155" s="12"/>
      <c r="T155" s="12"/>
      <c r="U155" s="10" t="str">
        <f>HYPERLINK("https://pbs.twimg.com/profile_images/782937926871187457/1lccL7N7.jpg","View")</f>
        <v>View</v>
      </c>
    </row>
    <row r="156" spans="1:21" ht="30.6">
      <c r="A156" s="6">
        <v>43427.395497685182</v>
      </c>
      <c r="B156" s="7" t="str">
        <f>HYPERLINK("https://twitter.com/Pilar_Magan","@Pilar_Magan")</f>
        <v>@Pilar_Magan</v>
      </c>
      <c r="C156" s="8" t="s">
        <v>1021</v>
      </c>
      <c r="D156" s="9" t="s">
        <v>1022</v>
      </c>
      <c r="E156" s="10" t="str">
        <f>HYPERLINK("https://twitter.com/Pilar_Magan/status/1065885041279025152","1065885041279025152")</f>
        <v>1065885041279025152</v>
      </c>
      <c r="F156" s="11" t="s">
        <v>1023</v>
      </c>
      <c r="G156" s="12"/>
      <c r="H156" s="12"/>
      <c r="I156" s="13">
        <v>0</v>
      </c>
      <c r="J156" s="13">
        <v>0</v>
      </c>
      <c r="K156" s="14" t="str">
        <f t="shared" si="35"/>
        <v>Twitter Web Client</v>
      </c>
      <c r="L156" s="13">
        <v>1218</v>
      </c>
      <c r="M156" s="13">
        <v>1974</v>
      </c>
      <c r="N156" s="13">
        <v>13</v>
      </c>
      <c r="O156" s="15"/>
      <c r="P156" s="6">
        <v>41945.866319444445</v>
      </c>
      <c r="Q156" s="16" t="s">
        <v>1025</v>
      </c>
      <c r="R156" s="17" t="s">
        <v>1026</v>
      </c>
      <c r="S156" s="11" t="s">
        <v>1027</v>
      </c>
      <c r="T156" s="12"/>
      <c r="U156" s="10" t="str">
        <f>HYPERLINK("https://pbs.twimg.com/profile_images/942450739623886853/sdW3uhr3.jpg","View")</f>
        <v>View</v>
      </c>
    </row>
    <row r="157" spans="1:21" ht="61.2">
      <c r="A157" s="6">
        <v>43427.394560185188</v>
      </c>
      <c r="B157" s="7" t="str">
        <f>HYPERLINK("https://twitter.com/pablomessia","@pablomessia")</f>
        <v>@pablomessia</v>
      </c>
      <c r="C157" s="8" t="s">
        <v>582</v>
      </c>
      <c r="D157" s="9" t="s">
        <v>583</v>
      </c>
      <c r="E157" s="10" t="str">
        <f>HYPERLINK("https://twitter.com/pablomessia/status/1065884700215046145","1065884700215046145")</f>
        <v>1065884700215046145</v>
      </c>
      <c r="F157" s="12"/>
      <c r="G157" s="12"/>
      <c r="H157" s="12"/>
      <c r="I157" s="13">
        <v>0</v>
      </c>
      <c r="J157" s="13">
        <v>1</v>
      </c>
      <c r="K157" s="14" t="str">
        <f>HYPERLINK("http://twitter.com/download/iphone","Twitter for iPhone")</f>
        <v>Twitter for iPhone</v>
      </c>
      <c r="L157" s="13">
        <v>1687</v>
      </c>
      <c r="M157" s="13">
        <v>2316</v>
      </c>
      <c r="N157" s="13">
        <v>26</v>
      </c>
      <c r="O157" s="15"/>
      <c r="P157" s="6">
        <v>40831.736319444448</v>
      </c>
      <c r="Q157" s="16" t="s">
        <v>584</v>
      </c>
      <c r="R157" s="17" t="s">
        <v>585</v>
      </c>
      <c r="S157" s="12"/>
      <c r="T157" s="12"/>
      <c r="U157" s="10" t="str">
        <f>HYPERLINK("https://pbs.twimg.com/profile_images/620509329783975936/-dXeex4V.jpg","View")</f>
        <v>View</v>
      </c>
    </row>
    <row r="158" spans="1:21" ht="40.799999999999997">
      <c r="A158" s="6">
        <v>43427.392395833333</v>
      </c>
      <c r="B158" s="7" t="str">
        <f>HYPERLINK("https://twitter.com/franciscorubira","@franciscorubira")</f>
        <v>@franciscorubira</v>
      </c>
      <c r="C158" s="8" t="s">
        <v>1029</v>
      </c>
      <c r="D158" s="9" t="s">
        <v>543</v>
      </c>
      <c r="E158" s="10" t="str">
        <f>HYPERLINK("https://twitter.com/franciscorubira/status/1065883918128185344","1065883918128185344")</f>
        <v>1065883918128185344</v>
      </c>
      <c r="F158" s="11" t="s">
        <v>1030</v>
      </c>
      <c r="G158" s="11" t="s">
        <v>1031</v>
      </c>
      <c r="H158" s="12"/>
      <c r="I158" s="13">
        <v>0</v>
      </c>
      <c r="J158" s="13">
        <v>0</v>
      </c>
      <c r="K158" s="14" t="str">
        <f>HYPERLINK("https://dlvrit.com/","dlvr.it")</f>
        <v>dlvr.it</v>
      </c>
      <c r="L158" s="13">
        <v>2434</v>
      </c>
      <c r="M158" s="13">
        <v>465</v>
      </c>
      <c r="N158" s="13">
        <v>43</v>
      </c>
      <c r="O158" s="15"/>
      <c r="P158" s="6">
        <v>39871.859317129631</v>
      </c>
      <c r="Q158" s="16" t="s">
        <v>440</v>
      </c>
      <c r="R158" s="17" t="s">
        <v>1032</v>
      </c>
      <c r="S158" s="11" t="s">
        <v>1033</v>
      </c>
      <c r="T158" s="12"/>
      <c r="U158" s="10" t="str">
        <f>HYPERLINK("https://pbs.twimg.com/profile_images/3347587725/a033bb22fbb57ca30cfe28855cc75a4a.jpeg","View")</f>
        <v>View</v>
      </c>
    </row>
    <row r="159" spans="1:21" ht="61.2">
      <c r="A159" s="6">
        <v>43427.391099537039</v>
      </c>
      <c r="B159" s="7" t="str">
        <f>HYPERLINK("https://twitter.com/Jam1Juan","@Jam1Juan")</f>
        <v>@Jam1Juan</v>
      </c>
      <c r="C159" s="8" t="s">
        <v>586</v>
      </c>
      <c r="D159" s="9" t="s">
        <v>587</v>
      </c>
      <c r="E159" s="10" t="str">
        <f>HYPERLINK("https://twitter.com/Jam1Juan/status/1065883447749722112","1065883447749722112")</f>
        <v>1065883447749722112</v>
      </c>
      <c r="F159" s="12"/>
      <c r="G159" s="12"/>
      <c r="H159" s="12"/>
      <c r="I159" s="13">
        <v>4</v>
      </c>
      <c r="J159" s="13">
        <v>5</v>
      </c>
      <c r="K159" s="14" t="str">
        <f>HYPERLINK("http://twitter.com/download/android","Twitter for Android")</f>
        <v>Twitter for Android</v>
      </c>
      <c r="L159" s="13">
        <v>7882</v>
      </c>
      <c r="M159" s="13">
        <v>6326</v>
      </c>
      <c r="N159" s="13">
        <v>94</v>
      </c>
      <c r="O159" s="15"/>
      <c r="P159" s="6">
        <v>41130.512592592597</v>
      </c>
      <c r="Q159" s="16" t="s">
        <v>588</v>
      </c>
      <c r="R159" s="17" t="s">
        <v>589</v>
      </c>
      <c r="S159" s="12"/>
      <c r="T159" s="12"/>
      <c r="U159" s="10" t="str">
        <f>HYPERLINK("https://pbs.twimg.com/profile_images/742352397314314240/2R45Yx63.jpg","View")</f>
        <v>View</v>
      </c>
    </row>
    <row r="160" spans="1:21" ht="71.400000000000006">
      <c r="A160" s="6">
        <v>43427.390717592592</v>
      </c>
      <c r="B160" s="7" t="str">
        <f>HYPERLINK("https://twitter.com/AnderSedicious","@AnderSedicious")</f>
        <v>@AnderSedicious</v>
      </c>
      <c r="C160" s="8" t="s">
        <v>592</v>
      </c>
      <c r="D160" s="9" t="s">
        <v>593</v>
      </c>
      <c r="E160" s="10" t="str">
        <f>HYPERLINK("https://twitter.com/AnderSedicious/status/1065883306661748736","1065883306661748736")</f>
        <v>1065883306661748736</v>
      </c>
      <c r="F160" s="16" t="s">
        <v>594</v>
      </c>
      <c r="G160" s="12"/>
      <c r="H160" s="12"/>
      <c r="I160" s="13">
        <v>0</v>
      </c>
      <c r="J160" s="13">
        <v>0</v>
      </c>
      <c r="K160" s="14" t="str">
        <f>HYPERLINK("http://twitter.com/download/iphone","Twitter for iPhone")</f>
        <v>Twitter for iPhone</v>
      </c>
      <c r="L160" s="13">
        <v>854</v>
      </c>
      <c r="M160" s="13">
        <v>1065</v>
      </c>
      <c r="N160" s="13">
        <v>0</v>
      </c>
      <c r="O160" s="15"/>
      <c r="P160" s="6">
        <v>43192.604374999995</v>
      </c>
      <c r="Q160" s="16" t="s">
        <v>597</v>
      </c>
      <c r="R160" s="17" t="s">
        <v>598</v>
      </c>
      <c r="S160" s="12"/>
      <c r="T160" s="12"/>
      <c r="U160" s="10" t="str">
        <f>HYPERLINK("https://pbs.twimg.com/profile_images/980794951293431813/19CdE5nX.jpg","View")</f>
        <v>View</v>
      </c>
    </row>
    <row r="161" spans="1:21" ht="20.399999999999999">
      <c r="A161" s="6">
        <v>43427.389178240745</v>
      </c>
      <c r="B161" s="7" t="str">
        <f>HYPERLINK("https://twitter.com/CAMARALHOMBRO2","@CAMARALHOMBRO2")</f>
        <v>@CAMARALHOMBRO2</v>
      </c>
      <c r="C161" s="8" t="s">
        <v>1039</v>
      </c>
      <c r="D161" s="9" t="s">
        <v>1041</v>
      </c>
      <c r="E161" s="10" t="str">
        <f>HYPERLINK("https://twitter.com/CAMARALHOMBRO2/status/1065882750668996609","1065882750668996609")</f>
        <v>1065882750668996609</v>
      </c>
      <c r="F161" s="11" t="s">
        <v>223</v>
      </c>
      <c r="G161" s="12"/>
      <c r="H161" s="12"/>
      <c r="I161" s="13">
        <v>0</v>
      </c>
      <c r="J161" s="13">
        <v>0</v>
      </c>
      <c r="K161" s="14" t="str">
        <f>HYPERLINK("http://twitter.com","Twitter Web Client")</f>
        <v>Twitter Web Client</v>
      </c>
      <c r="L161" s="13">
        <v>4</v>
      </c>
      <c r="M161" s="13">
        <v>46</v>
      </c>
      <c r="N161" s="13">
        <v>0</v>
      </c>
      <c r="O161" s="15"/>
      <c r="P161" s="6">
        <v>42959.741284722222</v>
      </c>
      <c r="Q161" s="16" t="s">
        <v>1043</v>
      </c>
      <c r="R161" s="17" t="s">
        <v>1044</v>
      </c>
      <c r="S161" s="12"/>
      <c r="T161" s="12"/>
      <c r="U161" s="10" t="str">
        <f>HYPERLINK("https://pbs.twimg.com/profile_images/961947978054463491/k2TEMgQQ.jpg","View")</f>
        <v>View</v>
      </c>
    </row>
    <row r="162" spans="1:21" ht="30.6">
      <c r="A162" s="6">
        <v>43427.387662037036</v>
      </c>
      <c r="B162" s="7" t="str">
        <f>HYPERLINK("https://twitter.com/bergabil94","@bergabil94")</f>
        <v>@bergabil94</v>
      </c>
      <c r="C162" s="8" t="s">
        <v>1046</v>
      </c>
      <c r="D162" s="9" t="s">
        <v>1048</v>
      </c>
      <c r="E162" s="10" t="str">
        <f>HYPERLINK("https://twitter.com/bergabil94/status/1065882201525534720","1065882201525534720")</f>
        <v>1065882201525534720</v>
      </c>
      <c r="F162" s="11" t="s">
        <v>1049</v>
      </c>
      <c r="G162" s="12"/>
      <c r="H162" s="12"/>
      <c r="I162" s="13">
        <v>0</v>
      </c>
      <c r="J162" s="13">
        <v>0</v>
      </c>
      <c r="K162" s="14" t="str">
        <f>HYPERLINK("https://ifttt.com","IFTTT")</f>
        <v>IFTTT</v>
      </c>
      <c r="L162" s="13">
        <v>64</v>
      </c>
      <c r="M162" s="13">
        <v>51</v>
      </c>
      <c r="N162" s="13">
        <v>3</v>
      </c>
      <c r="O162" s="15"/>
      <c r="P162" s="6">
        <v>42758.422662037032</v>
      </c>
      <c r="Q162" s="16" t="s">
        <v>118</v>
      </c>
      <c r="R162" s="17" t="s">
        <v>1052</v>
      </c>
      <c r="S162" s="12"/>
      <c r="T162" s="12"/>
      <c r="U162" s="10" t="str">
        <f>HYPERLINK("https://pbs.twimg.com/profile_images/823457736675459073/c35uioBB.jpg","View")</f>
        <v>View</v>
      </c>
    </row>
    <row r="163" spans="1:21" ht="20.399999999999999">
      <c r="A163" s="6">
        <v>43427.386793981481</v>
      </c>
      <c r="B163" s="7" t="str">
        <f>HYPERLINK("https://twitter.com/alenkhat","@alenkhat")</f>
        <v>@alenkhat</v>
      </c>
      <c r="C163" s="8" t="s">
        <v>599</v>
      </c>
      <c r="D163" s="9" t="s">
        <v>600</v>
      </c>
      <c r="E163" s="10" t="str">
        <f>HYPERLINK("https://twitter.com/alenkhat/status/1065881887288246272","1065881887288246272")</f>
        <v>1065881887288246272</v>
      </c>
      <c r="F163" s="12"/>
      <c r="G163" s="11" t="s">
        <v>601</v>
      </c>
      <c r="H163" s="12"/>
      <c r="I163" s="13">
        <v>0</v>
      </c>
      <c r="J163" s="13">
        <v>0</v>
      </c>
      <c r="K163" s="14" t="str">
        <f t="shared" ref="K163:K164" si="36">HYPERLINK("http://twitter.com/download/iphone","Twitter for iPhone")</f>
        <v>Twitter for iPhone</v>
      </c>
      <c r="L163" s="13">
        <v>280</v>
      </c>
      <c r="M163" s="13">
        <v>264</v>
      </c>
      <c r="N163" s="13">
        <v>3</v>
      </c>
      <c r="O163" s="15"/>
      <c r="P163" s="6">
        <v>40440.711400462962</v>
      </c>
      <c r="Q163" s="16" t="s">
        <v>602</v>
      </c>
      <c r="R163" s="17" t="s">
        <v>603</v>
      </c>
      <c r="S163" s="12"/>
      <c r="T163" s="12"/>
      <c r="U163" s="10" t="str">
        <f>HYPERLINK("https://pbs.twimg.com/profile_images/928196957088174080/Oql4OpaB.jpg","View")</f>
        <v>View</v>
      </c>
    </row>
    <row r="164" spans="1:21" ht="61.2">
      <c r="A164" s="6">
        <v>43427.383981481486</v>
      </c>
      <c r="B164" s="7" t="str">
        <f>HYPERLINK("https://twitter.com/sir_zapatilla","@sir_zapatilla")</f>
        <v>@sir_zapatilla</v>
      </c>
      <c r="C164" s="8" t="s">
        <v>604</v>
      </c>
      <c r="D164" s="9" t="s">
        <v>605</v>
      </c>
      <c r="E164" s="10" t="str">
        <f>HYPERLINK("https://twitter.com/sir_zapatilla/status/1065880869221662720","1065880869221662720")</f>
        <v>1065880869221662720</v>
      </c>
      <c r="F164" s="16" t="s">
        <v>606</v>
      </c>
      <c r="G164" s="11" t="s">
        <v>607</v>
      </c>
      <c r="H164" s="12"/>
      <c r="I164" s="13">
        <v>0</v>
      </c>
      <c r="J164" s="13">
        <v>0</v>
      </c>
      <c r="K164" s="14" t="str">
        <f t="shared" si="36"/>
        <v>Twitter for iPhone</v>
      </c>
      <c r="L164" s="13">
        <v>35</v>
      </c>
      <c r="M164" s="13">
        <v>120</v>
      </c>
      <c r="N164" s="13">
        <v>1</v>
      </c>
      <c r="O164" s="15"/>
      <c r="P164" s="6">
        <v>43011.345370370371</v>
      </c>
      <c r="Q164" s="16" t="s">
        <v>189</v>
      </c>
      <c r="R164" s="17" t="s">
        <v>608</v>
      </c>
      <c r="S164" s="12"/>
      <c r="T164" s="12"/>
      <c r="U164" s="10" t="str">
        <f>HYPERLINK("https://pbs.twimg.com/profile_images/915104607373840384/79ZbS4uh.jpg","View")</f>
        <v>View</v>
      </c>
    </row>
    <row r="165" spans="1:21" ht="61.2">
      <c r="A165" s="6">
        <v>43427.381365740745</v>
      </c>
      <c r="B165" s="7" t="str">
        <f>HYPERLINK("https://twitter.com/4ever_frog","@4ever_frog")</f>
        <v>@4ever_frog</v>
      </c>
      <c r="C165" s="8" t="s">
        <v>609</v>
      </c>
      <c r="D165" s="9" t="s">
        <v>610</v>
      </c>
      <c r="E165" s="10" t="str">
        <f>HYPERLINK("https://twitter.com/4ever_frog/status/1065879918754623488","1065879918754623488")</f>
        <v>1065879918754623488</v>
      </c>
      <c r="F165" s="11" t="s">
        <v>611</v>
      </c>
      <c r="G165" s="12"/>
      <c r="H165" s="12"/>
      <c r="I165" s="13">
        <v>1</v>
      </c>
      <c r="J165" s="13">
        <v>3</v>
      </c>
      <c r="K165" s="14" t="str">
        <f t="shared" ref="K165:K167" si="37">HYPERLINK("http://twitter.com","Twitter Web Client")</f>
        <v>Twitter Web Client</v>
      </c>
      <c r="L165" s="13">
        <v>151</v>
      </c>
      <c r="M165" s="13">
        <v>217</v>
      </c>
      <c r="N165" s="13">
        <v>3</v>
      </c>
      <c r="O165" s="15"/>
      <c r="P165" s="6">
        <v>42436.176608796297</v>
      </c>
      <c r="Q165" s="16" t="s">
        <v>106</v>
      </c>
      <c r="R165" s="19"/>
      <c r="S165" s="11" t="s">
        <v>612</v>
      </c>
      <c r="T165" s="12"/>
      <c r="U165" s="10" t="str">
        <f>HYPERLINK("https://pbs.twimg.com/profile_images/706702585642745857/srJN7zYn.jpg","View")</f>
        <v>View</v>
      </c>
    </row>
    <row r="166" spans="1:21" ht="51">
      <c r="A166" s="6">
        <v>43427.37122685185</v>
      </c>
      <c r="B166" s="7" t="str">
        <f>HYPERLINK("https://twitter.com/PCamorrista","@PCamorrista")</f>
        <v>@PCamorrista</v>
      </c>
      <c r="C166" s="8" t="s">
        <v>311</v>
      </c>
      <c r="D166" s="9" t="s">
        <v>615</v>
      </c>
      <c r="E166" s="10" t="str">
        <f>HYPERLINK("https://twitter.com/PCamorrista/status/1065876243747348480","1065876243747348480")</f>
        <v>1065876243747348480</v>
      </c>
      <c r="F166" s="11" t="s">
        <v>617</v>
      </c>
      <c r="G166" s="12"/>
      <c r="H166" s="12"/>
      <c r="I166" s="13">
        <v>3</v>
      </c>
      <c r="J166" s="13">
        <v>5</v>
      </c>
      <c r="K166" s="14" t="str">
        <f t="shared" si="37"/>
        <v>Twitter Web Client</v>
      </c>
      <c r="L166" s="13">
        <v>1953</v>
      </c>
      <c r="M166" s="13">
        <v>1977</v>
      </c>
      <c r="N166" s="13">
        <v>10</v>
      </c>
      <c r="O166" s="15"/>
      <c r="P166" s="6">
        <v>43114.384884259256</v>
      </c>
      <c r="Q166" s="16" t="s">
        <v>37</v>
      </c>
      <c r="R166" s="17" t="s">
        <v>314</v>
      </c>
      <c r="S166" s="11" t="s">
        <v>315</v>
      </c>
      <c r="T166" s="12"/>
      <c r="U166" s="10" t="str">
        <f>HYPERLINK("https://pbs.twimg.com/profile_images/952459031083397120/u6DBThkF.jpg","View")</f>
        <v>View</v>
      </c>
    </row>
    <row r="167" spans="1:21" ht="20.399999999999999">
      <c r="A167" s="6">
        <v>43427.370011574079</v>
      </c>
      <c r="B167" s="7" t="str">
        <f>HYPERLINK("https://twitter.com/mathusal9","@mathusal9")</f>
        <v>@mathusal9</v>
      </c>
      <c r="C167" s="8" t="s">
        <v>1066</v>
      </c>
      <c r="D167" s="9" t="s">
        <v>632</v>
      </c>
      <c r="E167" s="10" t="str">
        <f>HYPERLINK("https://twitter.com/mathusal9/status/1065875802900889600","1065875802900889600")</f>
        <v>1065875802900889600</v>
      </c>
      <c r="F167" s="11" t="s">
        <v>635</v>
      </c>
      <c r="G167" s="12"/>
      <c r="H167" s="12"/>
      <c r="I167" s="13">
        <v>0</v>
      </c>
      <c r="J167" s="13">
        <v>0</v>
      </c>
      <c r="K167" s="14" t="str">
        <f t="shared" si="37"/>
        <v>Twitter Web Client</v>
      </c>
      <c r="L167" s="13">
        <v>692</v>
      </c>
      <c r="M167" s="13">
        <v>1747</v>
      </c>
      <c r="N167" s="13">
        <v>3</v>
      </c>
      <c r="O167" s="15"/>
      <c r="P167" s="6">
        <v>43049.798819444448</v>
      </c>
      <c r="Q167" s="16" t="s">
        <v>333</v>
      </c>
      <c r="R167" s="17" t="s">
        <v>1069</v>
      </c>
      <c r="S167" s="12"/>
      <c r="T167" s="12"/>
      <c r="U167" s="10" t="str">
        <f>HYPERLINK("https://pbs.twimg.com/profile_images/936494587761385472/4QRLIAtv.jpg","View")</f>
        <v>View</v>
      </c>
    </row>
    <row r="168" spans="1:21" ht="30.6">
      <c r="A168" s="6">
        <v>43427.369490740741</v>
      </c>
      <c r="B168" s="7" t="str">
        <f>HYPERLINK("https://twitter.com/ADLibiTum0","@ADLibiTum0")</f>
        <v>@ADLibiTum0</v>
      </c>
      <c r="C168" s="8" t="s">
        <v>1070</v>
      </c>
      <c r="D168" s="9" t="s">
        <v>1071</v>
      </c>
      <c r="E168" s="10" t="str">
        <f>HYPERLINK("https://twitter.com/ADLibiTum0/status/1065875613859368960","1065875613859368960")</f>
        <v>1065875613859368960</v>
      </c>
      <c r="F168" s="11" t="s">
        <v>635</v>
      </c>
      <c r="G168" s="12"/>
      <c r="H168" s="12"/>
      <c r="I168" s="13">
        <v>0</v>
      </c>
      <c r="J168" s="13">
        <v>0</v>
      </c>
      <c r="K168" s="14" t="str">
        <f>HYPERLINK("https://paper.li","Paper.li")</f>
        <v>Paper.li</v>
      </c>
      <c r="L168" s="13">
        <v>501</v>
      </c>
      <c r="M168" s="13">
        <v>571</v>
      </c>
      <c r="N168" s="13">
        <v>8</v>
      </c>
      <c r="O168" s="15"/>
      <c r="P168" s="6">
        <v>42497.54409722222</v>
      </c>
      <c r="Q168" s="16" t="s">
        <v>1074</v>
      </c>
      <c r="R168" s="17" t="s">
        <v>1075</v>
      </c>
      <c r="S168" s="12"/>
      <c r="T168" s="12"/>
      <c r="U168" s="10" t="str">
        <f>HYPERLINK("https://pbs.twimg.com/profile_images/1042086556721471488/yOIlq8nu.jpg","View")</f>
        <v>View</v>
      </c>
    </row>
    <row r="169" spans="1:21" ht="40.799999999999997">
      <c r="A169" s="6">
        <v>43427.364398148144</v>
      </c>
      <c r="B169" s="7" t="str">
        <f>HYPERLINK("https://twitter.com/protestona1","@protestona1")</f>
        <v>@protestona1</v>
      </c>
      <c r="C169" s="8" t="s">
        <v>1078</v>
      </c>
      <c r="D169" s="9" t="s">
        <v>1079</v>
      </c>
      <c r="E169" s="10" t="str">
        <f>HYPERLINK("https://twitter.com/protestona1/status/1065873771142225920","1065873771142225920")</f>
        <v>1065873771142225920</v>
      </c>
      <c r="F169" s="12"/>
      <c r="G169" s="12"/>
      <c r="H169" s="12"/>
      <c r="I169" s="13">
        <v>29</v>
      </c>
      <c r="J169" s="13">
        <v>103</v>
      </c>
      <c r="K169" s="14" t="str">
        <f t="shared" ref="K169:K170" si="38">HYPERLINK("http://twitter.com/download/iphone","Twitter for iPhone")</f>
        <v>Twitter for iPhone</v>
      </c>
      <c r="L169" s="13">
        <v>151542</v>
      </c>
      <c r="M169" s="13">
        <v>2210</v>
      </c>
      <c r="N169" s="13">
        <v>4</v>
      </c>
      <c r="O169" s="15"/>
      <c r="P169" s="6">
        <v>41352.82136574074</v>
      </c>
      <c r="Q169" s="16" t="s">
        <v>662</v>
      </c>
      <c r="R169" s="17" t="s">
        <v>1082</v>
      </c>
      <c r="S169" s="11" t="s">
        <v>1083</v>
      </c>
      <c r="T169" s="12"/>
      <c r="U169" s="10" t="str">
        <f>HYPERLINK("https://pbs.twimg.com/profile_images/1014938895501463552/_oCE6Q1b.jpg","View")</f>
        <v>View</v>
      </c>
    </row>
    <row r="170" spans="1:21" ht="40.799999999999997">
      <c r="A170" s="6">
        <v>43427.360810185186</v>
      </c>
      <c r="B170" s="7" t="str">
        <f>HYPERLINK("https://twitter.com/mreglamg","@mreglamg")</f>
        <v>@mreglamg</v>
      </c>
      <c r="C170" s="8" t="s">
        <v>622</v>
      </c>
      <c r="D170" s="9" t="s">
        <v>623</v>
      </c>
      <c r="E170" s="10" t="str">
        <f>HYPERLINK("https://twitter.com/mreglamg/status/1065872468626325510","1065872468626325510")</f>
        <v>1065872468626325510</v>
      </c>
      <c r="F170" s="11" t="s">
        <v>624</v>
      </c>
      <c r="G170" s="12"/>
      <c r="H170" s="12"/>
      <c r="I170" s="13">
        <v>0</v>
      </c>
      <c r="J170" s="13">
        <v>0</v>
      </c>
      <c r="K170" s="14" t="str">
        <f t="shared" si="38"/>
        <v>Twitter for iPhone</v>
      </c>
      <c r="L170" s="13">
        <v>905</v>
      </c>
      <c r="M170" s="13">
        <v>595</v>
      </c>
      <c r="N170" s="13">
        <v>19</v>
      </c>
      <c r="O170" s="15"/>
      <c r="P170" s="6">
        <v>42107.645509259259</v>
      </c>
      <c r="Q170" s="16" t="s">
        <v>628</v>
      </c>
      <c r="R170" s="17" t="s">
        <v>629</v>
      </c>
      <c r="S170" s="11" t="s">
        <v>630</v>
      </c>
      <c r="T170" s="12"/>
      <c r="U170" s="10" t="str">
        <f>HYPERLINK("https://pbs.twimg.com/profile_images/993523491554123776/InfyH3wS.jpg","View")</f>
        <v>View</v>
      </c>
    </row>
    <row r="171" spans="1:21" ht="30.6">
      <c r="A171" s="6">
        <v>43427.359513888892</v>
      </c>
      <c r="B171" s="7" t="str">
        <f>HYPERLINK("https://twitter.com/ulrichiza","@ulrichiza")</f>
        <v>@ulrichiza</v>
      </c>
      <c r="C171" s="8" t="s">
        <v>633</v>
      </c>
      <c r="D171" s="9" t="s">
        <v>634</v>
      </c>
      <c r="E171" s="10" t="str">
        <f>HYPERLINK("https://twitter.com/ulrichiza/status/1065872001301131265","1065872001301131265")</f>
        <v>1065872001301131265</v>
      </c>
      <c r="F171" s="12"/>
      <c r="G171" s="11" t="s">
        <v>636</v>
      </c>
      <c r="H171" s="12"/>
      <c r="I171" s="13">
        <v>0</v>
      </c>
      <c r="J171" s="13">
        <v>0</v>
      </c>
      <c r="K171" s="14" t="str">
        <f>HYPERLINK("http://twitter.com/download/android","Twitter for Android")</f>
        <v>Twitter for Android</v>
      </c>
      <c r="L171" s="13">
        <v>6</v>
      </c>
      <c r="M171" s="13">
        <v>39</v>
      </c>
      <c r="N171" s="13">
        <v>0</v>
      </c>
      <c r="O171" s="15"/>
      <c r="P171" s="6">
        <v>43403.774178240739</v>
      </c>
      <c r="Q171" s="12"/>
      <c r="R171" s="17" t="s">
        <v>637</v>
      </c>
      <c r="S171" s="12"/>
      <c r="T171" s="12"/>
      <c r="U171" s="10" t="str">
        <f>HYPERLINK("https://pbs.twimg.com/profile_images/1057328657021177856/YQ4mZUCU.jpg","View")</f>
        <v>View</v>
      </c>
    </row>
    <row r="172" spans="1:21" ht="81.599999999999994">
      <c r="A172" s="6">
        <v>43427.358796296292</v>
      </c>
      <c r="B172" s="7" t="str">
        <f>HYPERLINK("https://twitter.com/coro_moni","@coro_moni")</f>
        <v>@coro_moni</v>
      </c>
      <c r="C172" s="8" t="s">
        <v>639</v>
      </c>
      <c r="D172" s="9" t="s">
        <v>640</v>
      </c>
      <c r="E172" s="10" t="str">
        <f>HYPERLINK("https://twitter.com/coro_moni/status/1065871741506019328","1065871741506019328")</f>
        <v>1065871741506019328</v>
      </c>
      <c r="F172" s="11" t="s">
        <v>533</v>
      </c>
      <c r="G172" s="11" t="s">
        <v>415</v>
      </c>
      <c r="H172" s="12"/>
      <c r="I172" s="13">
        <v>0</v>
      </c>
      <c r="J172" s="13">
        <v>2</v>
      </c>
      <c r="K172" s="14" t="str">
        <f>HYPERLINK("http://twitter.com/download/iphone","Twitter for iPhone")</f>
        <v>Twitter for iPhone</v>
      </c>
      <c r="L172" s="13">
        <v>14</v>
      </c>
      <c r="M172" s="13">
        <v>99</v>
      </c>
      <c r="N172" s="13">
        <v>0</v>
      </c>
      <c r="O172" s="15"/>
      <c r="P172" s="6">
        <v>41424.88480324074</v>
      </c>
      <c r="Q172" s="12"/>
      <c r="R172" s="19"/>
      <c r="S172" s="12"/>
      <c r="T172" s="12"/>
      <c r="U172" s="10" t="str">
        <f>HYPERLINK("https://pbs.twimg.com/profile_images/3735486139/4048d32c77497d1d536b0fe6e38dcac1.jpeg","View")</f>
        <v>View</v>
      </c>
    </row>
    <row r="173" spans="1:21" ht="51">
      <c r="A173" s="6">
        <v>43427.35261574074</v>
      </c>
      <c r="B173" s="7" t="str">
        <f>HYPERLINK("https://twitter.com/lejonathan84","@lejonathan84")</f>
        <v>@lejonathan84</v>
      </c>
      <c r="C173" s="8" t="s">
        <v>645</v>
      </c>
      <c r="D173" s="9" t="s">
        <v>647</v>
      </c>
      <c r="E173" s="10" t="str">
        <f>HYPERLINK("https://twitter.com/lejonathan84/status/1065869500959129601","1065869500959129601")</f>
        <v>1065869500959129601</v>
      </c>
      <c r="F173" s="12"/>
      <c r="G173" s="11" t="s">
        <v>648</v>
      </c>
      <c r="H173" s="12"/>
      <c r="I173" s="13">
        <v>0</v>
      </c>
      <c r="J173" s="13">
        <v>0</v>
      </c>
      <c r="K173" s="14" t="str">
        <f t="shared" ref="K173:K175" si="39">HYPERLINK("http://twitter.com/download/android","Twitter for Android")</f>
        <v>Twitter for Android</v>
      </c>
      <c r="L173" s="13">
        <v>617</v>
      </c>
      <c r="M173" s="13">
        <v>1631</v>
      </c>
      <c r="N173" s="13">
        <v>18</v>
      </c>
      <c r="O173" s="15"/>
      <c r="P173" s="6">
        <v>40235.037418981483</v>
      </c>
      <c r="Q173" s="16" t="s">
        <v>650</v>
      </c>
      <c r="R173" s="17" t="s">
        <v>651</v>
      </c>
      <c r="S173" s="12"/>
      <c r="T173" s="12"/>
      <c r="U173" s="10" t="str">
        <f>HYPERLINK("https://pbs.twimg.com/profile_images/1002979559388712960/8OYfuwwB.jpg","View")</f>
        <v>View</v>
      </c>
    </row>
    <row r="174" spans="1:21" ht="40.799999999999997">
      <c r="A174" s="6">
        <v>43427.352175925931</v>
      </c>
      <c r="B174" s="7" t="str">
        <f>HYPERLINK("https://twitter.com/ElHomer10","@ElHomer10")</f>
        <v>@ElHomer10</v>
      </c>
      <c r="C174" s="8" t="s">
        <v>654</v>
      </c>
      <c r="D174" s="9" t="s">
        <v>655</v>
      </c>
      <c r="E174" s="10" t="str">
        <f>HYPERLINK("https://twitter.com/ElHomer10/status/1065869343198797825","1065869343198797825")</f>
        <v>1065869343198797825</v>
      </c>
      <c r="F174" s="12"/>
      <c r="G174" s="12"/>
      <c r="H174" s="12"/>
      <c r="I174" s="13">
        <v>0</v>
      </c>
      <c r="J174" s="13">
        <v>0</v>
      </c>
      <c r="K174" s="14" t="str">
        <f t="shared" si="39"/>
        <v>Twitter for Android</v>
      </c>
      <c r="L174" s="13">
        <v>5</v>
      </c>
      <c r="M174" s="13">
        <v>58</v>
      </c>
      <c r="N174" s="13">
        <v>0</v>
      </c>
      <c r="O174" s="15"/>
      <c r="P174" s="6">
        <v>43415.405972222223</v>
      </c>
      <c r="Q174" s="12"/>
      <c r="R174" s="17" t="s">
        <v>656</v>
      </c>
      <c r="S174" s="12"/>
      <c r="T174" s="12"/>
      <c r="U174" s="10" t="str">
        <f>HYPERLINK("https://pbs.twimg.com/profile_images/1061542640871727104/lJrXTj-I.jpg","View")</f>
        <v>View</v>
      </c>
    </row>
    <row r="175" spans="1:21" ht="51">
      <c r="A175" s="6">
        <v>43427.351157407407</v>
      </c>
      <c r="B175" s="7" t="str">
        <f>HYPERLINK("https://twitter.com/CsSevillaSur","@CsSevillaSur")</f>
        <v>@CsSevillaSur</v>
      </c>
      <c r="C175" s="8" t="s">
        <v>657</v>
      </c>
      <c r="D175" s="9" t="s">
        <v>658</v>
      </c>
      <c r="E175" s="10" t="str">
        <f>HYPERLINK("https://twitter.com/CsSevillaSur/status/1065868972632023041","1065868972632023041")</f>
        <v>1065868972632023041</v>
      </c>
      <c r="F175" s="12"/>
      <c r="G175" s="11" t="s">
        <v>661</v>
      </c>
      <c r="H175" s="12"/>
      <c r="I175" s="13">
        <v>0</v>
      </c>
      <c r="J175" s="13">
        <v>0</v>
      </c>
      <c r="K175" s="14" t="str">
        <f t="shared" si="39"/>
        <v>Twitter for Android</v>
      </c>
      <c r="L175" s="13">
        <v>755</v>
      </c>
      <c r="M175" s="13">
        <v>437</v>
      </c>
      <c r="N175" s="13">
        <v>17</v>
      </c>
      <c r="O175" s="15"/>
      <c r="P175" s="6">
        <v>42073.929594907408</v>
      </c>
      <c r="Q175" s="16" t="s">
        <v>662</v>
      </c>
      <c r="R175" s="17" t="s">
        <v>663</v>
      </c>
      <c r="S175" s="11" t="s">
        <v>664</v>
      </c>
      <c r="T175" s="12"/>
      <c r="U175" s="10" t="str">
        <f>HYPERLINK("https://pbs.twimg.com/profile_images/899559437853224960/njPSUH1d.jpg","View")</f>
        <v>View</v>
      </c>
    </row>
    <row r="176" spans="1:21" ht="40.799999999999997">
      <c r="A176" s="6">
        <v>43427.348634259259</v>
      </c>
      <c r="B176" s="7" t="str">
        <f>HYPERLINK("https://twitter.com/excometals","@excometals")</f>
        <v>@excometals</v>
      </c>
      <c r="C176" s="8" t="s">
        <v>1104</v>
      </c>
      <c r="D176" s="9" t="s">
        <v>1105</v>
      </c>
      <c r="E176" s="10" t="str">
        <f>HYPERLINK("https://twitter.com/excometals/status/1065868059351633920","1065868059351633920")</f>
        <v>1065868059351633920</v>
      </c>
      <c r="F176" s="11" t="s">
        <v>635</v>
      </c>
      <c r="G176" s="12"/>
      <c r="H176" s="12"/>
      <c r="I176" s="13">
        <v>0</v>
      </c>
      <c r="J176" s="13">
        <v>0</v>
      </c>
      <c r="K176" s="14" t="str">
        <f>HYPERLINK("http://www.facebook.com/twitter","Facebook")</f>
        <v>Facebook</v>
      </c>
      <c r="L176" s="13">
        <v>954</v>
      </c>
      <c r="M176" s="13">
        <v>497</v>
      </c>
      <c r="N176" s="13">
        <v>57</v>
      </c>
      <c r="O176" s="15"/>
      <c r="P176" s="6">
        <v>40623.696446759262</v>
      </c>
      <c r="Q176" s="16" t="s">
        <v>37</v>
      </c>
      <c r="R176" s="19"/>
      <c r="S176" s="11" t="s">
        <v>1106</v>
      </c>
      <c r="T176" s="12"/>
      <c r="U176" s="10" t="str">
        <f>HYPERLINK("https://pbs.twimg.com/profile_images/1046250365228863488/Zl0YB5zT.jpg","View")</f>
        <v>View</v>
      </c>
    </row>
    <row r="177" spans="1:21" ht="30.6">
      <c r="A177" s="6">
        <v>43427.346157407403</v>
      </c>
      <c r="B177" s="7" t="str">
        <f>HYPERLINK("https://twitter.com/SilLlejoc","@SilLlejoc")</f>
        <v>@SilLlejoc</v>
      </c>
      <c r="C177" s="8" t="s">
        <v>1108</v>
      </c>
      <c r="D177" s="9" t="s">
        <v>1109</v>
      </c>
      <c r="E177" s="10" t="str">
        <f>HYPERLINK("https://twitter.com/SilLlejoc/status/1065867162219360256","1065867162219360256")</f>
        <v>1065867162219360256</v>
      </c>
      <c r="F177" s="12"/>
      <c r="G177" s="12"/>
      <c r="H177" s="12"/>
      <c r="I177" s="13">
        <v>0</v>
      </c>
      <c r="J177" s="13">
        <v>0</v>
      </c>
      <c r="K177" s="14" t="str">
        <f>HYPERLINK("http://twitter.com/download/android","Twitter for Android")</f>
        <v>Twitter for Android</v>
      </c>
      <c r="L177" s="13">
        <v>662</v>
      </c>
      <c r="M177" s="13">
        <v>870</v>
      </c>
      <c r="N177" s="13">
        <v>0</v>
      </c>
      <c r="O177" s="15"/>
      <c r="P177" s="6">
        <v>43140.403715277775</v>
      </c>
      <c r="Q177" s="12"/>
      <c r="R177" s="17" t="s">
        <v>1110</v>
      </c>
      <c r="S177" s="12"/>
      <c r="T177" s="12"/>
      <c r="U177" s="10" t="str">
        <f>HYPERLINK("https://pbs.twimg.com/profile_images/1059080685426753538/XnJR1sYH.jpg","View")</f>
        <v>View</v>
      </c>
    </row>
    <row r="178" spans="1:21" ht="61.2">
      <c r="A178" s="6">
        <v>43427.345567129625</v>
      </c>
      <c r="B178" s="7" t="str">
        <f>HYPERLINK("https://twitter.com/AdvocatJosPrado","@AdvocatJosPrado")</f>
        <v>@AdvocatJosPrado</v>
      </c>
      <c r="C178" s="8" t="s">
        <v>1113</v>
      </c>
      <c r="D178" s="9" t="s">
        <v>1114</v>
      </c>
      <c r="E178" s="10" t="str">
        <f>HYPERLINK("https://twitter.com/AdvocatJosPrado/status/1065866945654861824","1065866945654861824")</f>
        <v>1065866945654861824</v>
      </c>
      <c r="F178" s="11" t="s">
        <v>1116</v>
      </c>
      <c r="G178" s="12"/>
      <c r="H178" s="12"/>
      <c r="I178" s="13">
        <v>0</v>
      </c>
      <c r="J178" s="13">
        <v>0</v>
      </c>
      <c r="K178" s="14" t="str">
        <f t="shared" ref="K178:K179" si="40">HYPERLINK("http://twitter.com","Twitter Web Client")</f>
        <v>Twitter Web Client</v>
      </c>
      <c r="L178" s="13">
        <v>174</v>
      </c>
      <c r="M178" s="13">
        <v>321</v>
      </c>
      <c r="N178" s="13">
        <v>2</v>
      </c>
      <c r="O178" s="15"/>
      <c r="P178" s="6">
        <v>40946.927511574075</v>
      </c>
      <c r="Q178" s="16" t="s">
        <v>448</v>
      </c>
      <c r="R178" s="17" t="s">
        <v>1117</v>
      </c>
      <c r="S178" s="12"/>
      <c r="T178" s="12"/>
      <c r="U178" s="10" t="str">
        <f>HYPERLINK("https://pbs.twimg.com/profile_images/941218890314592256/Sx-HRz_q.jpg","View")</f>
        <v>View</v>
      </c>
    </row>
    <row r="179" spans="1:21" ht="40.799999999999997">
      <c r="A179" s="6">
        <v>43427.343715277777</v>
      </c>
      <c r="B179" s="7" t="str">
        <f>HYPERLINK("https://twitter.com/_InakiLopez_","@_InakiLopez_")</f>
        <v>@_InakiLopez_</v>
      </c>
      <c r="C179" s="8" t="s">
        <v>667</v>
      </c>
      <c r="D179" s="9" t="s">
        <v>668</v>
      </c>
      <c r="E179" s="10" t="str">
        <f>HYPERLINK("https://twitter.com/_InakiLopez_/status/1065866274792718338","1065866274792718338")</f>
        <v>1065866274792718338</v>
      </c>
      <c r="F179" s="12"/>
      <c r="G179" s="12"/>
      <c r="H179" s="12"/>
      <c r="I179" s="13">
        <v>3</v>
      </c>
      <c r="J179" s="13">
        <v>17</v>
      </c>
      <c r="K179" s="14" t="str">
        <f t="shared" si="40"/>
        <v>Twitter Web Client</v>
      </c>
      <c r="L179" s="13">
        <v>85146</v>
      </c>
      <c r="M179" s="13">
        <v>1650</v>
      </c>
      <c r="N179" s="13">
        <v>747</v>
      </c>
      <c r="O179" s="18" t="s">
        <v>36</v>
      </c>
      <c r="P179" s="6">
        <v>41355.804861111115</v>
      </c>
      <c r="Q179" s="12"/>
      <c r="R179" s="17" t="s">
        <v>669</v>
      </c>
      <c r="S179" s="12"/>
      <c r="T179" s="12"/>
      <c r="U179" s="10" t="str">
        <f>HYPERLINK("https://pbs.twimg.com/profile_images/378800000760937591/cd9aae8be022a1cff7d440b2e9b4ba95.jpeg","View")</f>
        <v>View</v>
      </c>
    </row>
    <row r="180" spans="1:21" ht="30.6">
      <c r="A180" s="6">
        <v>43427.340324074074</v>
      </c>
      <c r="B180" s="7" t="str">
        <f>HYPERLINK("https://twitter.com/Josegonsan","@Josegonsan")</f>
        <v>@Josegonsan</v>
      </c>
      <c r="C180" s="8" t="s">
        <v>112</v>
      </c>
      <c r="D180" s="9" t="s">
        <v>1124</v>
      </c>
      <c r="E180" s="10" t="str">
        <f>HYPERLINK("https://twitter.com/Josegonsan/status/1065865046960586753","1065865046960586753")</f>
        <v>1065865046960586753</v>
      </c>
      <c r="F180" s="12"/>
      <c r="G180" s="12"/>
      <c r="H180" s="12"/>
      <c r="I180" s="13">
        <v>0</v>
      </c>
      <c r="J180" s="13">
        <v>1</v>
      </c>
      <c r="K180" s="14" t="str">
        <f>HYPERLINK("http://twitter.com/download/android","Twitter for Android")</f>
        <v>Twitter for Android</v>
      </c>
      <c r="L180" s="13">
        <v>23</v>
      </c>
      <c r="M180" s="13">
        <v>117</v>
      </c>
      <c r="N180" s="13">
        <v>0</v>
      </c>
      <c r="O180" s="15"/>
      <c r="P180" s="6">
        <v>42171.603854166664</v>
      </c>
      <c r="Q180" s="16" t="s">
        <v>116</v>
      </c>
      <c r="R180" s="19"/>
      <c r="S180" s="12"/>
      <c r="T180" s="12"/>
      <c r="U180" s="10" t="str">
        <f>HYPERLINK("https://pbs.twimg.com/profile_images/613410644201721857/9uDgGBog.jpg","View")</f>
        <v>View</v>
      </c>
    </row>
    <row r="181" spans="1:21" ht="51">
      <c r="A181" s="6">
        <v>43427.338194444441</v>
      </c>
      <c r="B181" s="7" t="str">
        <f>HYPERLINK("https://twitter.com/trendinaliaES","@trendinaliaES")</f>
        <v>@trendinaliaES</v>
      </c>
      <c r="C181" s="8" t="s">
        <v>670</v>
      </c>
      <c r="D181" s="9" t="s">
        <v>671</v>
      </c>
      <c r="E181" s="10" t="str">
        <f>HYPERLINK("https://twitter.com/trendinaliaES/status/1065864273295896576","1065864273295896576")</f>
        <v>1065864273295896576</v>
      </c>
      <c r="F181" s="11" t="s">
        <v>673</v>
      </c>
      <c r="G181" s="12"/>
      <c r="H181" s="12" t="str">
        <f>HYPERLINK("https://ctrlq.org/maps/address/#40.4203,-3.7058","Map")</f>
        <v>Map</v>
      </c>
      <c r="I181" s="13">
        <v>0</v>
      </c>
      <c r="J181" s="13">
        <v>0</v>
      </c>
      <c r="K181" s="14" t="str">
        <f>HYPERLINK("http://laconversa.com","Es Tendencia en España")</f>
        <v>Es Tendencia en España</v>
      </c>
      <c r="L181" s="13">
        <v>49141</v>
      </c>
      <c r="M181" s="13">
        <v>37</v>
      </c>
      <c r="N181" s="13">
        <v>723</v>
      </c>
      <c r="O181" s="18" t="s">
        <v>36</v>
      </c>
      <c r="P181" s="6">
        <v>41319.819074074076</v>
      </c>
      <c r="Q181" s="16" t="s">
        <v>37</v>
      </c>
      <c r="R181" s="17" t="s">
        <v>675</v>
      </c>
      <c r="S181" s="11" t="s">
        <v>676</v>
      </c>
      <c r="T181" s="12"/>
      <c r="U181" s="10" t="str">
        <f>HYPERLINK("https://pbs.twimg.com/profile_images/696485210821632000/xpdMQ_mE.png","View")</f>
        <v>View</v>
      </c>
    </row>
    <row r="182" spans="1:21" ht="30.6">
      <c r="A182" s="6">
        <v>43427.334965277776</v>
      </c>
      <c r="B182" s="7" t="str">
        <f>HYPERLINK("https://twitter.com/JuancarMisis","@JuancarMisis")</f>
        <v>@JuancarMisis</v>
      </c>
      <c r="C182" s="8" t="s">
        <v>1138</v>
      </c>
      <c r="D182" s="9" t="s">
        <v>1139</v>
      </c>
      <c r="E182" s="10" t="str">
        <f>HYPERLINK("https://twitter.com/JuancarMisis/status/1065863104712589312","1065863104712589312")</f>
        <v>1065863104712589312</v>
      </c>
      <c r="F182" s="12"/>
      <c r="G182" s="11" t="s">
        <v>1140</v>
      </c>
      <c r="H182" s="12"/>
      <c r="I182" s="13">
        <v>1</v>
      </c>
      <c r="J182" s="13">
        <v>0</v>
      </c>
      <c r="K182" s="14" t="str">
        <f>HYPERLINK("http://twitter.com/download/android","Twitter for Android")</f>
        <v>Twitter for Android</v>
      </c>
      <c r="L182" s="13">
        <v>2198</v>
      </c>
      <c r="M182" s="13">
        <v>1945</v>
      </c>
      <c r="N182" s="13">
        <v>51</v>
      </c>
      <c r="O182" s="15"/>
      <c r="P182" s="6">
        <v>42042.932581018518</v>
      </c>
      <c r="Q182" s="12"/>
      <c r="R182" s="17" t="s">
        <v>1143</v>
      </c>
      <c r="S182" s="12"/>
      <c r="T182" s="12"/>
      <c r="U182" s="10" t="str">
        <f>HYPERLINK("https://pbs.twimg.com/profile_images/880378023958196225/QDIyw4aa.jpg","View")</f>
        <v>View</v>
      </c>
    </row>
    <row r="183" spans="1:21" ht="40.799999999999997">
      <c r="A183" s="6">
        <v>43427.32439814815</v>
      </c>
      <c r="B183" s="7" t="str">
        <f>HYPERLINK("https://twitter.com/tatarlak","@tatarlak")</f>
        <v>@tatarlak</v>
      </c>
      <c r="C183" s="8" t="s">
        <v>677</v>
      </c>
      <c r="D183" s="9" t="s">
        <v>678</v>
      </c>
      <c r="E183" s="10" t="str">
        <f>HYPERLINK("https://twitter.com/tatarlak/status/1065859273752760320","1065859273752760320")</f>
        <v>1065859273752760320</v>
      </c>
      <c r="F183" s="11" t="s">
        <v>680</v>
      </c>
      <c r="G183" s="12"/>
      <c r="H183" s="12"/>
      <c r="I183" s="13">
        <v>0</v>
      </c>
      <c r="J183" s="13">
        <v>0</v>
      </c>
      <c r="K183" s="14" t="str">
        <f>HYPERLINK("https://www.hootsuite.com","Hootsuite Inc.")</f>
        <v>Hootsuite Inc.</v>
      </c>
      <c r="L183" s="13">
        <v>3535</v>
      </c>
      <c r="M183" s="13">
        <v>4626</v>
      </c>
      <c r="N183" s="13">
        <v>173</v>
      </c>
      <c r="O183" s="15"/>
      <c r="P183" s="6">
        <v>39942.875520833331</v>
      </c>
      <c r="Q183" s="16" t="s">
        <v>682</v>
      </c>
      <c r="R183" s="17" t="s">
        <v>683</v>
      </c>
      <c r="S183" s="11" t="s">
        <v>684</v>
      </c>
      <c r="T183" s="12"/>
      <c r="U183" s="10" t="str">
        <f>HYPERLINK("https://pbs.twimg.com/profile_images/828645700825182209/EyWSNwMu.jpg","View")</f>
        <v>View</v>
      </c>
    </row>
    <row r="184" spans="1:21" ht="40.799999999999997">
      <c r="A184" s="6">
        <v>43427.322129629625</v>
      </c>
      <c r="B184" s="7" t="str">
        <f>HYPERLINK("https://twitter.com/GrdAlcantara","@GrdAlcantara")</f>
        <v>@GrdAlcantara</v>
      </c>
      <c r="C184" s="8" t="s">
        <v>685</v>
      </c>
      <c r="D184" s="9" t="s">
        <v>686</v>
      </c>
      <c r="E184" s="10" t="str">
        <f>HYPERLINK("https://twitter.com/GrdAlcantara/status/1065858452298321920","1065858452298321920")</f>
        <v>1065858452298321920</v>
      </c>
      <c r="F184" s="12"/>
      <c r="G184" s="12"/>
      <c r="H184" s="12"/>
      <c r="I184" s="13">
        <v>0</v>
      </c>
      <c r="J184" s="13">
        <v>0</v>
      </c>
      <c r="K184" s="14" t="str">
        <f>HYPERLINK("http://twitter.com/download/iphone","Twitter for iPhone")</f>
        <v>Twitter for iPhone</v>
      </c>
      <c r="L184" s="13">
        <v>452</v>
      </c>
      <c r="M184" s="13">
        <v>765</v>
      </c>
      <c r="N184" s="13">
        <v>19</v>
      </c>
      <c r="O184" s="15"/>
      <c r="P184" s="6">
        <v>42531.622361111113</v>
      </c>
      <c r="Q184" s="16" t="s">
        <v>687</v>
      </c>
      <c r="R184" s="17" t="s">
        <v>688</v>
      </c>
      <c r="S184" s="12"/>
      <c r="T184" s="12"/>
      <c r="U184" s="10" t="str">
        <f>HYPERLINK("https://pbs.twimg.com/profile_images/921622233759567872/kB4LOrNM.jpg","View")</f>
        <v>View</v>
      </c>
    </row>
    <row r="185" spans="1:21" ht="40.799999999999997">
      <c r="A185" s="6">
        <v>43427.320752314816</v>
      </c>
      <c r="B185" s="7" t="str">
        <f>HYPERLINK("https://twitter.com/__Gonzalos__","@__Gonzalos__")</f>
        <v>@__Gonzalos__</v>
      </c>
      <c r="C185" s="8" t="s">
        <v>1152</v>
      </c>
      <c r="D185" s="9" t="s">
        <v>1153</v>
      </c>
      <c r="E185" s="10" t="str">
        <f>HYPERLINK("https://twitter.com/__Gonzalos__/status/1065857951674580993","1065857951674580993")</f>
        <v>1065857951674580993</v>
      </c>
      <c r="F185" s="11" t="s">
        <v>1154</v>
      </c>
      <c r="G185" s="12"/>
      <c r="H185" s="12"/>
      <c r="I185" s="13">
        <v>4</v>
      </c>
      <c r="J185" s="13">
        <v>3</v>
      </c>
      <c r="K185" s="14" t="str">
        <f>HYPERLINK("http://twitter.com/#!/download/ipad","Twitter for iPad")</f>
        <v>Twitter for iPad</v>
      </c>
      <c r="L185" s="13">
        <v>6035</v>
      </c>
      <c r="M185" s="13">
        <v>5791</v>
      </c>
      <c r="N185" s="13">
        <v>59</v>
      </c>
      <c r="O185" s="15"/>
      <c r="P185" s="6">
        <v>41309.516064814816</v>
      </c>
      <c r="Q185" s="12"/>
      <c r="R185" s="17" t="s">
        <v>1155</v>
      </c>
      <c r="S185" s="12"/>
      <c r="T185" s="12"/>
      <c r="U185" s="10" t="str">
        <f>HYPERLINK("https://pbs.twimg.com/profile_images/972941233646653440/g_gq2J8w.jpg","View")</f>
        <v>View</v>
      </c>
    </row>
    <row r="186" spans="1:21" ht="30.6">
      <c r="A186" s="6">
        <v>43427.308425925927</v>
      </c>
      <c r="B186" s="7" t="str">
        <f>HYPERLINK("https://twitter.com/capitan_ahab","@capitan_ahab")</f>
        <v>@capitan_ahab</v>
      </c>
      <c r="C186" s="8" t="s">
        <v>689</v>
      </c>
      <c r="D186" s="9" t="s">
        <v>690</v>
      </c>
      <c r="E186" s="10" t="str">
        <f>HYPERLINK("https://twitter.com/capitan_ahab/status/1065853486460559362","1065853486460559362")</f>
        <v>1065853486460559362</v>
      </c>
      <c r="F186" s="12"/>
      <c r="G186" s="11" t="s">
        <v>691</v>
      </c>
      <c r="H186" s="12"/>
      <c r="I186" s="13">
        <v>1</v>
      </c>
      <c r="J186" s="13">
        <v>0</v>
      </c>
      <c r="K186" s="14" t="str">
        <f>HYPERLINK("https://about.twitter.com/products/tweetdeck","TweetDeck")</f>
        <v>TweetDeck</v>
      </c>
      <c r="L186" s="13">
        <v>10143</v>
      </c>
      <c r="M186" s="13">
        <v>9754</v>
      </c>
      <c r="N186" s="13">
        <v>208</v>
      </c>
      <c r="O186" s="15"/>
      <c r="P186" s="6">
        <v>40049.865416666667</v>
      </c>
      <c r="Q186" s="16" t="s">
        <v>692</v>
      </c>
      <c r="R186" s="17" t="s">
        <v>693</v>
      </c>
      <c r="S186" s="11" t="s">
        <v>694</v>
      </c>
      <c r="T186" s="12"/>
      <c r="U186" s="10" t="str">
        <f>HYPERLINK("https://pbs.twimg.com/profile_images/970981738955640832/jw5x2di6.jpg","View")</f>
        <v>View</v>
      </c>
    </row>
    <row r="187" spans="1:21" ht="40.799999999999997">
      <c r="A187" s="6">
        <v>43427.304594907408</v>
      </c>
      <c r="B187" s="7" t="str">
        <f>HYPERLINK("https://twitter.com/VeoInfo_","@VeoInfo_")</f>
        <v>@VeoInfo_</v>
      </c>
      <c r="C187" s="8" t="s">
        <v>1158</v>
      </c>
      <c r="D187" s="9" t="s">
        <v>1048</v>
      </c>
      <c r="E187" s="10" t="str">
        <f>HYPERLINK("https://twitter.com/VeoInfo_/status/1065852097751642112","1065852097751642112")</f>
        <v>1065852097751642112</v>
      </c>
      <c r="F187" s="11" t="s">
        <v>1159</v>
      </c>
      <c r="G187" s="11" t="s">
        <v>1160</v>
      </c>
      <c r="H187" s="12"/>
      <c r="I187" s="13">
        <v>0</v>
      </c>
      <c r="J187" s="13">
        <v>0</v>
      </c>
      <c r="K187" s="14" t="str">
        <f>HYPERLINK("http://publicize.wp.com/","WordPress.com")</f>
        <v>WordPress.com</v>
      </c>
      <c r="L187" s="13">
        <v>1135</v>
      </c>
      <c r="M187" s="13">
        <v>1139</v>
      </c>
      <c r="N187" s="13">
        <v>36</v>
      </c>
      <c r="O187" s="15"/>
      <c r="P187" s="6">
        <v>41881.101840277777</v>
      </c>
      <c r="Q187" s="16" t="s">
        <v>1161</v>
      </c>
      <c r="R187" s="17" t="s">
        <v>1162</v>
      </c>
      <c r="S187" s="11" t="s">
        <v>1163</v>
      </c>
      <c r="T187" s="12"/>
      <c r="U187" s="10" t="str">
        <f>HYPERLINK("https://pbs.twimg.com/profile_images/601509372305485827/Val0dfGy.png","View")</f>
        <v>View</v>
      </c>
    </row>
    <row r="188" spans="1:21" ht="13.2">
      <c r="A188" s="6">
        <v>43427.304351851853</v>
      </c>
      <c r="B188" s="7" t="str">
        <f>HYPERLINK("https://twitter.com/JordiPedragosa","@JordiPedragosa")</f>
        <v>@JordiPedragosa</v>
      </c>
      <c r="C188" s="8" t="s">
        <v>1165</v>
      </c>
      <c r="D188" s="9" t="s">
        <v>1166</v>
      </c>
      <c r="E188" s="10" t="str">
        <f>HYPERLINK("https://twitter.com/JordiPedragosa/status/1065852012359794689","1065852012359794689")</f>
        <v>1065852012359794689</v>
      </c>
      <c r="F188" s="11" t="s">
        <v>1167</v>
      </c>
      <c r="G188" s="12"/>
      <c r="H188" s="12"/>
      <c r="I188" s="13">
        <v>0</v>
      </c>
      <c r="J188" s="13">
        <v>0</v>
      </c>
      <c r="K188" s="14" t="str">
        <f>HYPERLINK("http://www.facebook.com/twitter","Facebook")</f>
        <v>Facebook</v>
      </c>
      <c r="L188" s="13">
        <v>366</v>
      </c>
      <c r="M188" s="13">
        <v>332</v>
      </c>
      <c r="N188" s="13">
        <v>25</v>
      </c>
      <c r="O188" s="15"/>
      <c r="P188" s="6">
        <v>40051.585787037038</v>
      </c>
      <c r="Q188" s="16" t="s">
        <v>1168</v>
      </c>
      <c r="R188" s="17" t="s">
        <v>1169</v>
      </c>
      <c r="S188" s="12"/>
      <c r="T188" s="12"/>
      <c r="U188" s="10" t="str">
        <f>HYPERLINK("https://pbs.twimg.com/profile_images/994920393147408387/XCRTUlye.jpg","View")</f>
        <v>View</v>
      </c>
    </row>
    <row r="189" spans="1:21" ht="40.799999999999997">
      <c r="A189" s="6">
        <v>43427.303877314815</v>
      </c>
      <c r="B189" s="7" t="str">
        <f>HYPERLINK("https://twitter.com/jafombuena","@jafombuena")</f>
        <v>@jafombuena</v>
      </c>
      <c r="C189" s="8" t="s">
        <v>1171</v>
      </c>
      <c r="D189" s="9" t="s">
        <v>1172</v>
      </c>
      <c r="E189" s="10" t="str">
        <f>HYPERLINK("https://twitter.com/jafombuena/status/1065851840175181824","1065851840175181824")</f>
        <v>1065851840175181824</v>
      </c>
      <c r="F189" s="11" t="s">
        <v>635</v>
      </c>
      <c r="G189" s="12"/>
      <c r="H189" s="12"/>
      <c r="I189" s="13">
        <v>0</v>
      </c>
      <c r="J189" s="13">
        <v>0</v>
      </c>
      <c r="K189" s="14" t="str">
        <f>HYPERLINK("https://paper.li","Paper.li")</f>
        <v>Paper.li</v>
      </c>
      <c r="L189" s="13">
        <v>2734</v>
      </c>
      <c r="M189" s="13">
        <v>2901</v>
      </c>
      <c r="N189" s="13">
        <v>40</v>
      </c>
      <c r="O189" s="15"/>
      <c r="P189" s="6">
        <v>41660.54755787037</v>
      </c>
      <c r="Q189" s="16" t="s">
        <v>1175</v>
      </c>
      <c r="R189" s="17" t="s">
        <v>1176</v>
      </c>
      <c r="S189" s="12"/>
      <c r="T189" s="12"/>
      <c r="U189" s="10" t="str">
        <f>HYPERLINK("https://pbs.twimg.com/profile_images/1063894337841446912/QCLl8tWp.jpg","View")</f>
        <v>View</v>
      </c>
    </row>
    <row r="190" spans="1:21" ht="30.6">
      <c r="A190" s="6">
        <v>43427.299837962964</v>
      </c>
      <c r="B190" s="7" t="str">
        <f>HYPERLINK("https://twitter.com/J_ParraG","@J_ParraG")</f>
        <v>@J_ParraG</v>
      </c>
      <c r="C190" s="8" t="s">
        <v>697</v>
      </c>
      <c r="D190" s="9" t="s">
        <v>698</v>
      </c>
      <c r="E190" s="10" t="str">
        <f>HYPERLINK("https://twitter.com/J_ParraG/status/1065850373527736320","1065850373527736320")</f>
        <v>1065850373527736320</v>
      </c>
      <c r="F190" s="11" t="s">
        <v>699</v>
      </c>
      <c r="G190" s="12"/>
      <c r="H190" s="12"/>
      <c r="I190" s="13">
        <v>0</v>
      </c>
      <c r="J190" s="13">
        <v>0</v>
      </c>
      <c r="K190" s="14" t="str">
        <f t="shared" ref="K190:K195" si="41">HYPERLINK("http://twitter.com/download/android","Twitter for Android")</f>
        <v>Twitter for Android</v>
      </c>
      <c r="L190" s="13">
        <v>380</v>
      </c>
      <c r="M190" s="13">
        <v>967</v>
      </c>
      <c r="N190" s="13">
        <v>14</v>
      </c>
      <c r="O190" s="15"/>
      <c r="P190" s="6">
        <v>40918.953576388885</v>
      </c>
      <c r="Q190" s="16" t="s">
        <v>700</v>
      </c>
      <c r="R190" s="17" t="s">
        <v>701</v>
      </c>
      <c r="S190" s="12"/>
      <c r="T190" s="12"/>
      <c r="U190" s="10" t="str">
        <f>HYPERLINK("https://pbs.twimg.com/profile_images/1048291555134656513/KPn63Fw4.jpg","View")</f>
        <v>View</v>
      </c>
    </row>
    <row r="191" spans="1:21" ht="30.6">
      <c r="A191" s="6">
        <v>43427.276678240742</v>
      </c>
      <c r="B191" s="7" t="str">
        <f>HYPERLINK("https://twitter.com/clamorsegovia","@clamorsegovia")</f>
        <v>@clamorsegovia</v>
      </c>
      <c r="C191" s="8" t="s">
        <v>1181</v>
      </c>
      <c r="D191" s="9" t="s">
        <v>1182</v>
      </c>
      <c r="E191" s="10" t="str">
        <f>HYPERLINK("https://twitter.com/clamorsegovia/status/1065841981648224256","1065841981648224256")</f>
        <v>1065841981648224256</v>
      </c>
      <c r="F191" s="11" t="s">
        <v>1184</v>
      </c>
      <c r="G191" s="12"/>
      <c r="H191" s="12"/>
      <c r="I191" s="13">
        <v>0</v>
      </c>
      <c r="J191" s="13">
        <v>0</v>
      </c>
      <c r="K191" s="14" t="str">
        <f t="shared" si="41"/>
        <v>Twitter for Android</v>
      </c>
      <c r="L191" s="13">
        <v>2720</v>
      </c>
      <c r="M191" s="13">
        <v>1715</v>
      </c>
      <c r="N191" s="13">
        <v>44</v>
      </c>
      <c r="O191" s="15"/>
      <c r="P191" s="6">
        <v>40615.442974537036</v>
      </c>
      <c r="Q191" s="16" t="s">
        <v>496</v>
      </c>
      <c r="R191" s="17" t="s">
        <v>1185</v>
      </c>
      <c r="S191" s="11" t="s">
        <v>1186</v>
      </c>
      <c r="T191" s="12"/>
      <c r="U191" s="10" t="str">
        <f>HYPERLINK("https://pbs.twimg.com/profile_images/1055051697536622592/sYsCmnMN.jpg","View")</f>
        <v>View</v>
      </c>
    </row>
    <row r="192" spans="1:21" ht="30.6">
      <c r="A192" s="6">
        <v>43427.276423611111</v>
      </c>
      <c r="B192" s="7" t="str">
        <f>HYPERLINK("https://twitter.com/jordisolamas","@jordisolamas")</f>
        <v>@jordisolamas</v>
      </c>
      <c r="C192" s="8" t="s">
        <v>702</v>
      </c>
      <c r="D192" s="9" t="s">
        <v>703</v>
      </c>
      <c r="E192" s="10" t="str">
        <f>HYPERLINK("https://twitter.com/jordisolamas/status/1065841889159593984","1065841889159593984")</f>
        <v>1065841889159593984</v>
      </c>
      <c r="F192" s="12"/>
      <c r="G192" s="12"/>
      <c r="H192" s="12"/>
      <c r="I192" s="13">
        <v>0</v>
      </c>
      <c r="J192" s="13">
        <v>1</v>
      </c>
      <c r="K192" s="14" t="str">
        <f t="shared" si="41"/>
        <v>Twitter for Android</v>
      </c>
      <c r="L192" s="13">
        <v>647</v>
      </c>
      <c r="M192" s="13">
        <v>609</v>
      </c>
      <c r="N192" s="13">
        <v>18</v>
      </c>
      <c r="O192" s="15"/>
      <c r="P192" s="6">
        <v>40286.756388888891</v>
      </c>
      <c r="Q192" s="12"/>
      <c r="R192" s="17" t="s">
        <v>704</v>
      </c>
      <c r="S192" s="11" t="s">
        <v>705</v>
      </c>
      <c r="T192" s="12"/>
      <c r="U192" s="10" t="str">
        <f>HYPERLINK("https://pbs.twimg.com/profile_images/992292325278736384/oUuX0_FE.jpg","View")</f>
        <v>View</v>
      </c>
    </row>
    <row r="193" spans="1:21" ht="30.6">
      <c r="A193" s="6">
        <v>43427.276388888888</v>
      </c>
      <c r="B193" s="7" t="str">
        <f>HYPERLINK("https://twitter.com/clamorsegovia","@clamorsegovia")</f>
        <v>@clamorsegovia</v>
      </c>
      <c r="C193" s="8" t="s">
        <v>1181</v>
      </c>
      <c r="D193" s="9" t="s">
        <v>1182</v>
      </c>
      <c r="E193" s="10" t="str">
        <f>HYPERLINK("https://twitter.com/clamorsegovia/status/1065841877461680130","1065841877461680130")</f>
        <v>1065841877461680130</v>
      </c>
      <c r="F193" s="11" t="s">
        <v>1184</v>
      </c>
      <c r="G193" s="12"/>
      <c r="H193" s="12"/>
      <c r="I193" s="13">
        <v>0</v>
      </c>
      <c r="J193" s="13">
        <v>0</v>
      </c>
      <c r="K193" s="14" t="str">
        <f t="shared" si="41"/>
        <v>Twitter for Android</v>
      </c>
      <c r="L193" s="13">
        <v>2720</v>
      </c>
      <c r="M193" s="13">
        <v>1715</v>
      </c>
      <c r="N193" s="13">
        <v>44</v>
      </c>
      <c r="O193" s="15"/>
      <c r="P193" s="6">
        <v>40615.442974537036</v>
      </c>
      <c r="Q193" s="16" t="s">
        <v>496</v>
      </c>
      <c r="R193" s="17" t="s">
        <v>1185</v>
      </c>
      <c r="S193" s="11" t="s">
        <v>1186</v>
      </c>
      <c r="T193" s="12"/>
      <c r="U193" s="10" t="str">
        <f>HYPERLINK("https://pbs.twimg.com/profile_images/1055051697536622592/sYsCmnMN.jpg","View")</f>
        <v>View</v>
      </c>
    </row>
    <row r="194" spans="1:21" ht="20.399999999999999">
      <c r="A194" s="6">
        <v>43427.274143518516</v>
      </c>
      <c r="B194" s="7" t="str">
        <f>HYPERLINK("https://twitter.com/inma1312","@inma1312")</f>
        <v>@inma1312</v>
      </c>
      <c r="C194" s="8" t="s">
        <v>1191</v>
      </c>
      <c r="D194" s="9" t="s">
        <v>1192</v>
      </c>
      <c r="E194" s="10" t="str">
        <f>HYPERLINK("https://twitter.com/inma1312/status/1065841062256746496","1065841062256746496")</f>
        <v>1065841062256746496</v>
      </c>
      <c r="F194" s="11" t="s">
        <v>1193</v>
      </c>
      <c r="G194" s="12"/>
      <c r="H194" s="12"/>
      <c r="I194" s="13">
        <v>0</v>
      </c>
      <c r="J194" s="13">
        <v>0</v>
      </c>
      <c r="K194" s="14" t="str">
        <f t="shared" si="41"/>
        <v>Twitter for Android</v>
      </c>
      <c r="L194" s="13">
        <v>119</v>
      </c>
      <c r="M194" s="13">
        <v>338</v>
      </c>
      <c r="N194" s="13">
        <v>0</v>
      </c>
      <c r="O194" s="15"/>
      <c r="P194" s="6">
        <v>41162.959374999999</v>
      </c>
      <c r="Q194" s="16" t="s">
        <v>1195</v>
      </c>
      <c r="R194" s="17" t="s">
        <v>1196</v>
      </c>
      <c r="S194" s="12"/>
      <c r="T194" s="12"/>
      <c r="U194" s="10" t="str">
        <f>HYPERLINK("https://pbs.twimg.com/profile_images/1059580457233367040/88DgnRZ5.jpg","View")</f>
        <v>View</v>
      </c>
    </row>
    <row r="195" spans="1:21" ht="30.6">
      <c r="A195" s="6">
        <v>43427.263645833329</v>
      </c>
      <c r="B195" s="7" t="str">
        <f>HYPERLINK("https://twitter.com/YamaYoshito_","@YamaYoshito_")</f>
        <v>@YamaYoshito_</v>
      </c>
      <c r="C195" s="8" t="s">
        <v>1198</v>
      </c>
      <c r="D195" s="9" t="s">
        <v>1199</v>
      </c>
      <c r="E195" s="10" t="str">
        <f>HYPERLINK("https://twitter.com/YamaYoshito_/status/1065837260770283520","1065837260770283520")</f>
        <v>1065837260770283520</v>
      </c>
      <c r="F195" s="12"/>
      <c r="G195" s="12"/>
      <c r="H195" s="12"/>
      <c r="I195" s="13">
        <v>0</v>
      </c>
      <c r="J195" s="13">
        <v>0</v>
      </c>
      <c r="K195" s="14" t="str">
        <f t="shared" si="41"/>
        <v>Twitter for Android</v>
      </c>
      <c r="L195" s="13">
        <v>371</v>
      </c>
      <c r="M195" s="13">
        <v>1079</v>
      </c>
      <c r="N195" s="13">
        <v>13</v>
      </c>
      <c r="O195" s="15"/>
      <c r="P195" s="6">
        <v>41152.925706018519</v>
      </c>
      <c r="Q195" s="16" t="s">
        <v>1200</v>
      </c>
      <c r="R195" s="17" t="s">
        <v>1201</v>
      </c>
      <c r="S195" s="11" t="s">
        <v>1202</v>
      </c>
      <c r="T195" s="12"/>
      <c r="U195" s="10" t="str">
        <f>HYPERLINK("https://pbs.twimg.com/profile_images/1065850351482544128/hm7mqkZv.jpg","View")</f>
        <v>View</v>
      </c>
    </row>
    <row r="196" spans="1:21" ht="51">
      <c r="A196" s="6">
        <v>43427.251388888893</v>
      </c>
      <c r="B196" s="7" t="str">
        <f>HYPERLINK("https://twitter.com/bitMomentum","@bitMomentum")</f>
        <v>@bitMomentum</v>
      </c>
      <c r="C196" s="8" t="s">
        <v>706</v>
      </c>
      <c r="D196" s="9" t="s">
        <v>707</v>
      </c>
      <c r="E196" s="10" t="str">
        <f>HYPERLINK("https://twitter.com/bitMomentum/status/1065832815906951169","1065832815906951169")</f>
        <v>1065832815906951169</v>
      </c>
      <c r="F196" s="12"/>
      <c r="G196" s="12"/>
      <c r="H196" s="12"/>
      <c r="I196" s="13">
        <v>0</v>
      </c>
      <c r="J196" s="13">
        <v>0</v>
      </c>
      <c r="K196" s="14" t="str">
        <f>HYPERLINK("http://www.bitmomentum.com","bitMomentum Bot")</f>
        <v>bitMomentum Bot</v>
      </c>
      <c r="L196" s="13">
        <v>10132</v>
      </c>
      <c r="M196" s="13">
        <v>1060</v>
      </c>
      <c r="N196" s="13">
        <v>262</v>
      </c>
      <c r="O196" s="15"/>
      <c r="P196" s="6">
        <v>41608.667511574073</v>
      </c>
      <c r="Q196" s="12"/>
      <c r="R196" s="17" t="s">
        <v>708</v>
      </c>
      <c r="S196" s="11" t="s">
        <v>709</v>
      </c>
      <c r="T196" s="12"/>
      <c r="U196" s="10" t="str">
        <f>HYPERLINK("https://pbs.twimg.com/profile_images/378800000862185241/20ij2H3u.png","View")</f>
        <v>View</v>
      </c>
    </row>
    <row r="197" spans="1:21" ht="40.799999999999997">
      <c r="A197" s="6">
        <v>43427.221354166672</v>
      </c>
      <c r="B197" s="7" t="str">
        <f>HYPERLINK("https://twitter.com/juanortiz076","@juanortiz076")</f>
        <v>@juanortiz076</v>
      </c>
      <c r="C197" s="8" t="s">
        <v>1209</v>
      </c>
      <c r="D197" s="9" t="s">
        <v>1210</v>
      </c>
      <c r="E197" s="10" t="str">
        <f>HYPERLINK("https://twitter.com/juanortiz076/status/1065821932753424384","1065821932753424384")</f>
        <v>1065821932753424384</v>
      </c>
      <c r="F197" s="11" t="s">
        <v>223</v>
      </c>
      <c r="G197" s="12"/>
      <c r="H197" s="12"/>
      <c r="I197" s="13">
        <v>0</v>
      </c>
      <c r="J197" s="13">
        <v>0</v>
      </c>
      <c r="K197" s="14" t="str">
        <f>HYPERLINK("http://twitter.com/download/android","Twitter for Android")</f>
        <v>Twitter for Android</v>
      </c>
      <c r="L197" s="13">
        <v>3818</v>
      </c>
      <c r="M197" s="13">
        <v>3796</v>
      </c>
      <c r="N197" s="13">
        <v>14</v>
      </c>
      <c r="O197" s="15"/>
      <c r="P197" s="6">
        <v>42159.128587962958</v>
      </c>
      <c r="Q197" s="16" t="s">
        <v>1214</v>
      </c>
      <c r="R197" s="17" t="s">
        <v>1215</v>
      </c>
      <c r="S197" s="12"/>
      <c r="T197" s="12"/>
      <c r="U197" s="10" t="str">
        <f>HYPERLINK("https://pbs.twimg.com/profile_images/1040108619843489794/3N6Z4LBp.jpg","View")</f>
        <v>View</v>
      </c>
    </row>
    <row r="198" spans="1:21" ht="40.799999999999997">
      <c r="A198" s="6">
        <v>43427.209722222222</v>
      </c>
      <c r="B198" s="7" t="str">
        <f t="shared" ref="B198:B199" si="42">HYPERLINK("https://twitter.com/bitMomentum","@bitMomentum")</f>
        <v>@bitMomentum</v>
      </c>
      <c r="C198" s="8" t="s">
        <v>706</v>
      </c>
      <c r="D198" s="9" t="s">
        <v>710</v>
      </c>
      <c r="E198" s="10" t="str">
        <f>HYPERLINK("https://twitter.com/bitMomentum/status/1065817716324540417","1065817716324540417")</f>
        <v>1065817716324540417</v>
      </c>
      <c r="F198" s="12"/>
      <c r="G198" s="12"/>
      <c r="H198" s="12"/>
      <c r="I198" s="13">
        <v>0</v>
      </c>
      <c r="J198" s="13">
        <v>0</v>
      </c>
      <c r="K198" s="14" t="str">
        <f t="shared" ref="K198:K199" si="43">HYPERLINK("http://www.bitmomentum.com","bitMomentum Bot")</f>
        <v>bitMomentum Bot</v>
      </c>
      <c r="L198" s="13">
        <v>10132</v>
      </c>
      <c r="M198" s="13">
        <v>1060</v>
      </c>
      <c r="N198" s="13">
        <v>262</v>
      </c>
      <c r="O198" s="15"/>
      <c r="P198" s="6">
        <v>41608.667511574073</v>
      </c>
      <c r="Q198" s="12"/>
      <c r="R198" s="17" t="s">
        <v>708</v>
      </c>
      <c r="S198" s="11" t="s">
        <v>709</v>
      </c>
      <c r="T198" s="12"/>
      <c r="U198" s="10" t="str">
        <f t="shared" ref="U198:U199" si="44">HYPERLINK("https://pbs.twimg.com/profile_images/378800000862185241/20ij2H3u.png","View")</f>
        <v>View</v>
      </c>
    </row>
    <row r="199" spans="1:21" ht="51">
      <c r="A199" s="6">
        <v>43427.209027777775</v>
      </c>
      <c r="B199" s="7" t="str">
        <f t="shared" si="42"/>
        <v>@bitMomentum</v>
      </c>
      <c r="C199" s="8" t="s">
        <v>706</v>
      </c>
      <c r="D199" s="9" t="s">
        <v>713</v>
      </c>
      <c r="E199" s="10" t="str">
        <f>HYPERLINK("https://twitter.com/bitMomentum/status/1065817464888410112","1065817464888410112")</f>
        <v>1065817464888410112</v>
      </c>
      <c r="F199" s="12"/>
      <c r="G199" s="12"/>
      <c r="H199" s="12"/>
      <c r="I199" s="13">
        <v>1</v>
      </c>
      <c r="J199" s="13">
        <v>1</v>
      </c>
      <c r="K199" s="14" t="str">
        <f t="shared" si="43"/>
        <v>bitMomentum Bot</v>
      </c>
      <c r="L199" s="13">
        <v>10132</v>
      </c>
      <c r="M199" s="13">
        <v>1060</v>
      </c>
      <c r="N199" s="13">
        <v>262</v>
      </c>
      <c r="O199" s="15"/>
      <c r="P199" s="6">
        <v>41608.667511574073</v>
      </c>
      <c r="Q199" s="12"/>
      <c r="R199" s="17" t="s">
        <v>708</v>
      </c>
      <c r="S199" s="11" t="s">
        <v>709</v>
      </c>
      <c r="T199" s="12"/>
      <c r="U199" s="10" t="str">
        <f t="shared" si="44"/>
        <v>View</v>
      </c>
    </row>
    <row r="200" spans="1:21" ht="30.6">
      <c r="A200" s="6">
        <v>43427.138402777782</v>
      </c>
      <c r="B200" s="7" t="str">
        <f>HYPERLINK("https://twitter.com/dolmonamor4","@dolmonamor4")</f>
        <v>@dolmonamor4</v>
      </c>
      <c r="C200" s="8" t="s">
        <v>1226</v>
      </c>
      <c r="D200" s="9" t="s">
        <v>1227</v>
      </c>
      <c r="E200" s="10" t="str">
        <f>HYPERLINK("https://twitter.com/dolmonamor4/status/1065791873179099136","1065791873179099136")</f>
        <v>1065791873179099136</v>
      </c>
      <c r="F200" s="11" t="s">
        <v>1228</v>
      </c>
      <c r="G200" s="12"/>
      <c r="H200" s="12"/>
      <c r="I200" s="13">
        <v>1</v>
      </c>
      <c r="J200" s="13">
        <v>0</v>
      </c>
      <c r="K200" s="14" t="str">
        <f t="shared" ref="K200:K201" si="45">HYPERLINK("http://twitter.com","Twitter Web Client")</f>
        <v>Twitter Web Client</v>
      </c>
      <c r="L200" s="13">
        <v>2042</v>
      </c>
      <c r="M200" s="13">
        <v>2582</v>
      </c>
      <c r="N200" s="13">
        <v>76</v>
      </c>
      <c r="O200" s="15"/>
      <c r="P200" s="6">
        <v>40494.693622685183</v>
      </c>
      <c r="Q200" s="16" t="s">
        <v>1231</v>
      </c>
      <c r="R200" s="17" t="s">
        <v>1232</v>
      </c>
      <c r="S200" s="11" t="s">
        <v>1233</v>
      </c>
      <c r="T200" s="12"/>
      <c r="U200" s="10" t="str">
        <f>HYPERLINK("https://pbs.twimg.com/profile_images/677308329450934273/k01J80Pn.jpg","View")</f>
        <v>View</v>
      </c>
    </row>
    <row r="201" spans="1:21" ht="61.2">
      <c r="A201" s="6">
        <v>43427.136111111111</v>
      </c>
      <c r="B201" s="7" t="str">
        <f>HYPERLINK("https://twitter.com/lahoraredaccion","@lahoraredaccion")</f>
        <v>@lahoraredaccion</v>
      </c>
      <c r="C201" s="8" t="s">
        <v>717</v>
      </c>
      <c r="D201" s="9" t="s">
        <v>718</v>
      </c>
      <c r="E201" s="10" t="str">
        <f>HYPERLINK("https://twitter.com/lahoraredaccion/status/1065791041289170945","1065791041289170945")</f>
        <v>1065791041289170945</v>
      </c>
      <c r="F201" s="11" t="s">
        <v>719</v>
      </c>
      <c r="G201" s="11" t="s">
        <v>720</v>
      </c>
      <c r="H201" s="12"/>
      <c r="I201" s="13">
        <v>1</v>
      </c>
      <c r="J201" s="13">
        <v>1</v>
      </c>
      <c r="K201" s="14" t="str">
        <f t="shared" si="45"/>
        <v>Twitter Web Client</v>
      </c>
      <c r="L201" s="13">
        <v>1644</v>
      </c>
      <c r="M201" s="13">
        <v>4231</v>
      </c>
      <c r="N201" s="13">
        <v>14</v>
      </c>
      <c r="O201" s="15"/>
      <c r="P201" s="6">
        <v>40585.755208333336</v>
      </c>
      <c r="Q201" s="16" t="s">
        <v>722</v>
      </c>
      <c r="R201" s="17" t="s">
        <v>723</v>
      </c>
      <c r="S201" s="12"/>
      <c r="T201" s="12"/>
      <c r="U201" s="10" t="str">
        <f>HYPERLINK("https://pbs.twimg.com/profile_images/1243587141/La_Hora.jpg","View")</f>
        <v>View</v>
      </c>
    </row>
    <row r="202" spans="1:21" ht="20.399999999999999">
      <c r="A202" s="6">
        <v>43427.111620370371</v>
      </c>
      <c r="B202" s="7" t="str">
        <f>HYPERLINK("https://twitter.com/Migueltroi20","@Migueltroi20")</f>
        <v>@Migueltroi20</v>
      </c>
      <c r="C202" s="8" t="s">
        <v>1240</v>
      </c>
      <c r="D202" s="9" t="s">
        <v>1241</v>
      </c>
      <c r="E202" s="10" t="str">
        <f>HYPERLINK("https://twitter.com/Migueltroi20/status/1065782167576485888","1065782167576485888")</f>
        <v>1065782167576485888</v>
      </c>
      <c r="F202" s="12"/>
      <c r="G202" s="12"/>
      <c r="H202" s="12"/>
      <c r="I202" s="13">
        <v>0</v>
      </c>
      <c r="J202" s="13">
        <v>0</v>
      </c>
      <c r="K202" s="14" t="str">
        <f>HYPERLINK("http://twitter.com/download/android","Twitter for Android")</f>
        <v>Twitter for Android</v>
      </c>
      <c r="L202" s="13">
        <v>308</v>
      </c>
      <c r="M202" s="13">
        <v>490</v>
      </c>
      <c r="N202" s="13">
        <v>0</v>
      </c>
      <c r="O202" s="15"/>
      <c r="P202" s="6">
        <v>41136.701527777775</v>
      </c>
      <c r="Q202" s="16" t="s">
        <v>1244</v>
      </c>
      <c r="R202" s="17" t="s">
        <v>1245</v>
      </c>
      <c r="S202" s="12"/>
      <c r="T202" s="12"/>
      <c r="U202" s="10" t="str">
        <f>HYPERLINK("https://pbs.twimg.com/profile_images/1055003566862143489/G7i22UBl.jpg","View")</f>
        <v>View</v>
      </c>
    </row>
    <row r="203" spans="1:21" ht="71.400000000000006">
      <c r="A203" s="6">
        <v>43427.10769675926</v>
      </c>
      <c r="B203" s="7" t="str">
        <f>HYPERLINK("https://twitter.com/OdJordi","@OdJordi")</f>
        <v>@OdJordi</v>
      </c>
      <c r="C203" s="8" t="s">
        <v>731</v>
      </c>
      <c r="D203" s="9" t="s">
        <v>732</v>
      </c>
      <c r="E203" s="10" t="str">
        <f>HYPERLINK("https://twitter.com/OdJordi/status/1065780743681556486","1065780743681556486")</f>
        <v>1065780743681556486</v>
      </c>
      <c r="F203" s="16" t="s">
        <v>733</v>
      </c>
      <c r="G203" s="11" t="s">
        <v>65</v>
      </c>
      <c r="H203" s="12"/>
      <c r="I203" s="13">
        <v>0</v>
      </c>
      <c r="J203" s="13">
        <v>0</v>
      </c>
      <c r="K203" s="14" t="str">
        <f>HYPERLINK("http://twitter.com/#!/download/ipad","Twitter for iPad")</f>
        <v>Twitter for iPad</v>
      </c>
      <c r="L203" s="13">
        <v>125</v>
      </c>
      <c r="M203" s="13">
        <v>315</v>
      </c>
      <c r="N203" s="13">
        <v>1</v>
      </c>
      <c r="O203" s="15"/>
      <c r="P203" s="6">
        <v>43364.784398148149</v>
      </c>
      <c r="Q203" s="16" t="s">
        <v>735</v>
      </c>
      <c r="R203" s="17" t="s">
        <v>736</v>
      </c>
      <c r="S203" s="12"/>
      <c r="T203" s="12"/>
      <c r="U203" s="10" t="str">
        <f>HYPERLINK("https://pbs.twimg.com/profile_images/1051850895523278848/MJfJWY0y.jpg","View")</f>
        <v>View</v>
      </c>
    </row>
    <row r="204" spans="1:21" ht="51">
      <c r="A204" s="6">
        <v>43427.084027777775</v>
      </c>
      <c r="B204" s="7" t="str">
        <f>HYPERLINK("https://twitter.com/bitMomentum","@bitMomentum")</f>
        <v>@bitMomentum</v>
      </c>
      <c r="C204" s="8" t="s">
        <v>706</v>
      </c>
      <c r="D204" s="9" t="s">
        <v>737</v>
      </c>
      <c r="E204" s="10" t="str">
        <f>HYPERLINK("https://twitter.com/bitMomentum/status/1065772166224990208","1065772166224990208")</f>
        <v>1065772166224990208</v>
      </c>
      <c r="F204" s="12"/>
      <c r="G204" s="12"/>
      <c r="H204" s="12"/>
      <c r="I204" s="13">
        <v>0</v>
      </c>
      <c r="J204" s="13">
        <v>0</v>
      </c>
      <c r="K204" s="14" t="str">
        <f>HYPERLINK("http://www.bitmomentum.com","bitMomentum Bot")</f>
        <v>bitMomentum Bot</v>
      </c>
      <c r="L204" s="13">
        <v>10132</v>
      </c>
      <c r="M204" s="13">
        <v>1060</v>
      </c>
      <c r="N204" s="13">
        <v>262</v>
      </c>
      <c r="O204" s="15"/>
      <c r="P204" s="6">
        <v>41608.667511574073</v>
      </c>
      <c r="Q204" s="12"/>
      <c r="R204" s="17" t="s">
        <v>708</v>
      </c>
      <c r="S204" s="11" t="s">
        <v>709</v>
      </c>
      <c r="T204" s="12"/>
      <c r="U204" s="10" t="str">
        <f>HYPERLINK("https://pbs.twimg.com/profile_images/378800000862185241/20ij2H3u.png","View")</f>
        <v>View</v>
      </c>
    </row>
    <row r="205" spans="1:21" ht="30.6">
      <c r="A205" s="6">
        <v>43427.083310185189</v>
      </c>
      <c r="B205" s="7" t="str">
        <f>HYPERLINK("https://twitter.com/TheZodiacLung","@TheZodiacLung")</f>
        <v>@TheZodiacLung</v>
      </c>
      <c r="C205" s="8" t="s">
        <v>739</v>
      </c>
      <c r="D205" s="9" t="s">
        <v>740</v>
      </c>
      <c r="E205" s="10" t="str">
        <f>HYPERLINK("https://twitter.com/TheZodiacLung/status/1065771908472410112","1065771908472410112")</f>
        <v>1065771908472410112</v>
      </c>
      <c r="F205" s="12"/>
      <c r="G205" s="12"/>
      <c r="H205" s="12"/>
      <c r="I205" s="13">
        <v>0</v>
      </c>
      <c r="J205" s="13">
        <v>1</v>
      </c>
      <c r="K205" s="14" t="str">
        <f t="shared" ref="K205:K206" si="46">HYPERLINK("http://twitter.com/download/android","Twitter for Android")</f>
        <v>Twitter for Android</v>
      </c>
      <c r="L205" s="13">
        <v>314</v>
      </c>
      <c r="M205" s="13">
        <v>580</v>
      </c>
      <c r="N205" s="13">
        <v>2</v>
      </c>
      <c r="O205" s="15"/>
      <c r="P205" s="6">
        <v>40009.371469907404</v>
      </c>
      <c r="Q205" s="16" t="s">
        <v>743</v>
      </c>
      <c r="R205" s="17" t="s">
        <v>745</v>
      </c>
      <c r="S205" s="12"/>
      <c r="T205" s="12"/>
      <c r="U205" s="10" t="str">
        <f>HYPERLINK("https://pbs.twimg.com/profile_images/1062625457080860673/Q2js5OxJ.jpg","View")</f>
        <v>View</v>
      </c>
    </row>
    <row r="206" spans="1:21" ht="71.400000000000006">
      <c r="A206" s="6">
        <v>43427.051990740743</v>
      </c>
      <c r="B206" s="7" t="str">
        <f>HYPERLINK("https://twitter.com/lunixes","@lunixes")</f>
        <v>@lunixes</v>
      </c>
      <c r="C206" s="8" t="s">
        <v>1253</v>
      </c>
      <c r="D206" s="9" t="s">
        <v>1254</v>
      </c>
      <c r="E206" s="10" t="str">
        <f>HYPERLINK("https://twitter.com/lunixes/status/1065760559482773504","1065760559482773504")</f>
        <v>1065760559482773504</v>
      </c>
      <c r="F206" s="16" t="s">
        <v>1255</v>
      </c>
      <c r="G206" s="11" t="s">
        <v>1256</v>
      </c>
      <c r="H206" s="12"/>
      <c r="I206" s="13">
        <v>0</v>
      </c>
      <c r="J206" s="13">
        <v>1</v>
      </c>
      <c r="K206" s="14" t="str">
        <f t="shared" si="46"/>
        <v>Twitter for Android</v>
      </c>
      <c r="L206" s="13">
        <v>40</v>
      </c>
      <c r="M206" s="13">
        <v>115</v>
      </c>
      <c r="N206" s="13">
        <v>4</v>
      </c>
      <c r="O206" s="15"/>
      <c r="P206" s="6">
        <v>40125.163935185185</v>
      </c>
      <c r="Q206" s="16" t="s">
        <v>75</v>
      </c>
      <c r="R206" s="17" t="s">
        <v>1257</v>
      </c>
      <c r="S206" s="12"/>
      <c r="T206" s="12"/>
      <c r="U206" s="10" t="str">
        <f>HYPERLINK("https://pbs.twimg.com/profile_images/1382817315/exDQi_-_Copy_-_Copy_-_Copy.png","View")</f>
        <v>View</v>
      </c>
    </row>
    <row r="207" spans="1:21" ht="81.599999999999994">
      <c r="A207" s="6">
        <v>43427.051030092596</v>
      </c>
      <c r="B207" s="7" t="str">
        <f>HYPERLINK("https://twitter.com/mamencrespo","@mamencrespo")</f>
        <v>@mamencrespo</v>
      </c>
      <c r="C207" s="8" t="s">
        <v>747</v>
      </c>
      <c r="D207" s="9" t="s">
        <v>748</v>
      </c>
      <c r="E207" s="10" t="str">
        <f>HYPERLINK("https://twitter.com/mamencrespo/status/1065760209103138816","1065760209103138816")</f>
        <v>1065760209103138816</v>
      </c>
      <c r="F207" s="16" t="s">
        <v>749</v>
      </c>
      <c r="G207" s="11" t="s">
        <v>750</v>
      </c>
      <c r="H207" s="12"/>
      <c r="I207" s="13">
        <v>0</v>
      </c>
      <c r="J207" s="13">
        <v>0</v>
      </c>
      <c r="K207" s="14" t="str">
        <f>HYPERLINK("http://twitter.com/download/iphone","Twitter for iPhone")</f>
        <v>Twitter for iPhone</v>
      </c>
      <c r="L207" s="13">
        <v>2833</v>
      </c>
      <c r="M207" s="13">
        <v>1367</v>
      </c>
      <c r="N207" s="13">
        <v>50</v>
      </c>
      <c r="O207" s="15"/>
      <c r="P207" s="6">
        <v>40625.911006944443</v>
      </c>
      <c r="Q207" s="12"/>
      <c r="R207" s="17" t="s">
        <v>751</v>
      </c>
      <c r="S207" s="11" t="s">
        <v>752</v>
      </c>
      <c r="T207" s="12"/>
      <c r="U207" s="10" t="str">
        <f>HYPERLINK("https://pbs.twimg.com/profile_images/798697774183288834/GKJ7BfZY.jpg","View")</f>
        <v>View</v>
      </c>
    </row>
    <row r="208" spans="1:21" ht="40.799999999999997">
      <c r="A208" s="6">
        <v>43427.050439814819</v>
      </c>
      <c r="B208" s="7" t="str">
        <f>HYPERLINK("https://twitter.com/novomedinilla","@novomedinilla")</f>
        <v>@novomedinilla</v>
      </c>
      <c r="C208" s="8" t="s">
        <v>1263</v>
      </c>
      <c r="D208" s="9" t="s">
        <v>1264</v>
      </c>
      <c r="E208" s="10" t="str">
        <f>HYPERLINK("https://twitter.com/novomedinilla/status/1065759997504749569","1065759997504749569")</f>
        <v>1065759997504749569</v>
      </c>
      <c r="F208" s="11" t="s">
        <v>1266</v>
      </c>
      <c r="G208" s="12"/>
      <c r="H208" s="12"/>
      <c r="I208" s="13">
        <v>1</v>
      </c>
      <c r="J208" s="13">
        <v>1</v>
      </c>
      <c r="K208" s="14" t="str">
        <f>HYPERLINK("http://twitter.com/download/android","Twitter for Android")</f>
        <v>Twitter for Android</v>
      </c>
      <c r="L208" s="13">
        <v>10648</v>
      </c>
      <c r="M208" s="13">
        <v>9713</v>
      </c>
      <c r="N208" s="13">
        <v>86</v>
      </c>
      <c r="O208" s="15"/>
      <c r="P208" s="6">
        <v>40424.661354166667</v>
      </c>
      <c r="Q208" s="16" t="s">
        <v>1268</v>
      </c>
      <c r="R208" s="17" t="s">
        <v>1269</v>
      </c>
      <c r="S208" s="11" t="s">
        <v>1270</v>
      </c>
      <c r="T208" s="12"/>
      <c r="U208" s="10" t="str">
        <f>HYPERLINK("https://pbs.twimg.com/profile_images/986522746967511040/mbYZaTmD.jpg","View")</f>
        <v>View</v>
      </c>
    </row>
    <row r="209" spans="1:21" ht="102">
      <c r="A209" s="6">
        <v>43427.040532407409</v>
      </c>
      <c r="B209" s="7" t="str">
        <f>HYPERLINK("https://twitter.com/HPiedrahitaT","@HPiedrahitaT")</f>
        <v>@HPiedrahitaT</v>
      </c>
      <c r="C209" s="8" t="s">
        <v>753</v>
      </c>
      <c r="D209" s="9" t="s">
        <v>754</v>
      </c>
      <c r="E209" s="10" t="str">
        <f>HYPERLINK("https://twitter.com/HPiedrahitaT/status/1065756404680716288","1065756404680716288")</f>
        <v>1065756404680716288</v>
      </c>
      <c r="F209" s="11" t="s">
        <v>757</v>
      </c>
      <c r="G209" s="11" t="s">
        <v>758</v>
      </c>
      <c r="H209" s="12"/>
      <c r="I209" s="13">
        <v>0</v>
      </c>
      <c r="J209" s="13">
        <v>0</v>
      </c>
      <c r="K209" s="14" t="str">
        <f>HYPERLINK("http://twitter.com","Twitter Web Client")</f>
        <v>Twitter Web Client</v>
      </c>
      <c r="L209" s="13">
        <v>264</v>
      </c>
      <c r="M209" s="13">
        <v>1</v>
      </c>
      <c r="N209" s="13">
        <v>5</v>
      </c>
      <c r="O209" s="15"/>
      <c r="P209" s="6">
        <v>41205.596851851849</v>
      </c>
      <c r="Q209" s="12"/>
      <c r="R209" s="19"/>
      <c r="S209" s="12"/>
      <c r="T209" s="12"/>
      <c r="U209" s="18" t="s">
        <v>559</v>
      </c>
    </row>
    <row r="210" spans="1:21" ht="30.6">
      <c r="A210" s="6">
        <v>43427.039965277778</v>
      </c>
      <c r="B210" s="7" t="str">
        <f>HYPERLINK("https://twitter.com/RobJim74","@RobJim74")</f>
        <v>@RobJim74</v>
      </c>
      <c r="C210" s="8" t="s">
        <v>1274</v>
      </c>
      <c r="D210" s="9" t="s">
        <v>1275</v>
      </c>
      <c r="E210" s="10" t="str">
        <f>HYPERLINK("https://twitter.com/RobJim74/status/1065756198455119872","1065756198455119872")</f>
        <v>1065756198455119872</v>
      </c>
      <c r="F210" s="12"/>
      <c r="G210" s="12"/>
      <c r="H210" s="12"/>
      <c r="I210" s="13">
        <v>0</v>
      </c>
      <c r="J210" s="13">
        <v>0</v>
      </c>
      <c r="K210" s="14" t="str">
        <f>HYPERLINK("http://twitter.com/download/android","Twitter for Android")</f>
        <v>Twitter for Android</v>
      </c>
      <c r="L210" s="13">
        <v>6</v>
      </c>
      <c r="M210" s="13">
        <v>40</v>
      </c>
      <c r="N210" s="13">
        <v>0</v>
      </c>
      <c r="O210" s="15"/>
      <c r="P210" s="6">
        <v>41332.864837962959</v>
      </c>
      <c r="Q210" s="16" t="s">
        <v>106</v>
      </c>
      <c r="R210" s="19"/>
      <c r="S210" s="12"/>
      <c r="T210" s="12"/>
      <c r="U210" s="10" t="str">
        <f>HYPERLINK("https://pbs.twimg.com/profile_images/631612081763164160/zPwdqYRj.jpg","View")</f>
        <v>View</v>
      </c>
    </row>
    <row r="211" spans="1:21" ht="20.399999999999999">
      <c r="A211" s="6">
        <v>43427.032164351855</v>
      </c>
      <c r="B211" s="7" t="str">
        <f>HYPERLINK("https://twitter.com/tuiterFernando","@tuiterFernando")</f>
        <v>@tuiterFernando</v>
      </c>
      <c r="C211" s="8" t="s">
        <v>1279</v>
      </c>
      <c r="D211" s="9" t="s">
        <v>1280</v>
      </c>
      <c r="E211" s="10" t="str">
        <f>HYPERLINK("https://twitter.com/tuiterFernando/status/1065753371783700481","1065753371783700481")</f>
        <v>1065753371783700481</v>
      </c>
      <c r="F211" s="11" t="s">
        <v>1281</v>
      </c>
      <c r="G211" s="12"/>
      <c r="H211" s="12"/>
      <c r="I211" s="13">
        <v>0</v>
      </c>
      <c r="J211" s="13">
        <v>0</v>
      </c>
      <c r="K211" s="14" t="str">
        <f>HYPERLINK("http://twitter.com","Twitter Web Client")</f>
        <v>Twitter Web Client</v>
      </c>
      <c r="L211" s="13">
        <v>391</v>
      </c>
      <c r="M211" s="13">
        <v>493</v>
      </c>
      <c r="N211" s="13">
        <v>6</v>
      </c>
      <c r="O211" s="15"/>
      <c r="P211" s="6">
        <v>41351.998506944445</v>
      </c>
      <c r="Q211" s="16" t="s">
        <v>1282</v>
      </c>
      <c r="R211" s="17" t="s">
        <v>1283</v>
      </c>
      <c r="S211" s="12"/>
      <c r="T211" s="12"/>
      <c r="U211" s="10" t="str">
        <f>HYPERLINK("https://pbs.twimg.com/profile_images/378800000677792834/5399e57c0c8c0fb4be6c9dccccd1075d.jpeg","View")</f>
        <v>View</v>
      </c>
    </row>
    <row r="212" spans="1:21" ht="30.6">
      <c r="A212" s="6">
        <v>43427.029768518521</v>
      </c>
      <c r="B212" s="7" t="str">
        <f>HYPERLINK("https://twitter.com/Yihad_Azulgrana","@Yihad_Azulgrana")</f>
        <v>@Yihad_Azulgrana</v>
      </c>
      <c r="C212" s="8" t="s">
        <v>1286</v>
      </c>
      <c r="D212" s="9" t="s">
        <v>1287</v>
      </c>
      <c r="E212" s="10" t="str">
        <f>HYPERLINK("https://twitter.com/Yihad_Azulgrana/status/1065752506502971392","1065752506502971392")</f>
        <v>1065752506502971392</v>
      </c>
      <c r="F212" s="12"/>
      <c r="G212" s="11" t="s">
        <v>1289</v>
      </c>
      <c r="H212" s="12"/>
      <c r="I212" s="13">
        <v>0</v>
      </c>
      <c r="J212" s="13">
        <v>0</v>
      </c>
      <c r="K212" s="14" t="str">
        <f>HYPERLINK("http://twitter.com/download/android","Twitter for Android")</f>
        <v>Twitter for Android</v>
      </c>
      <c r="L212" s="13">
        <v>598</v>
      </c>
      <c r="M212" s="13">
        <v>408</v>
      </c>
      <c r="N212" s="13">
        <v>5</v>
      </c>
      <c r="O212" s="15"/>
      <c r="P212" s="6">
        <v>40287.927986111114</v>
      </c>
      <c r="Q212" s="12"/>
      <c r="R212" s="17" t="s">
        <v>1292</v>
      </c>
      <c r="S212" s="12"/>
      <c r="T212" s="12"/>
      <c r="U212" s="10" t="str">
        <f>HYPERLINK("https://pbs.twimg.com/profile_images/378800000755090601/fe1faff7606d75d3af8faed33f7474fe.jpeg","View")</f>
        <v>View</v>
      </c>
    </row>
    <row r="213" spans="1:21" ht="40.799999999999997">
      <c r="A213" s="6">
        <v>43427.024479166663</v>
      </c>
      <c r="B213" s="7" t="str">
        <f>HYPERLINK("https://twitter.com/fernandoga60","@fernandoga60")</f>
        <v>@fernandoga60</v>
      </c>
      <c r="C213" s="8" t="s">
        <v>1294</v>
      </c>
      <c r="D213" s="9" t="s">
        <v>1295</v>
      </c>
      <c r="E213" s="10" t="str">
        <f>HYPERLINK("https://twitter.com/fernandoga60/status/1065750586174382080","1065750586174382080")</f>
        <v>1065750586174382080</v>
      </c>
      <c r="F213" s="11" t="s">
        <v>1296</v>
      </c>
      <c r="G213" s="12"/>
      <c r="H213" s="12"/>
      <c r="I213" s="13">
        <v>0</v>
      </c>
      <c r="J213" s="13">
        <v>0</v>
      </c>
      <c r="K213" s="14" t="str">
        <f>HYPERLINK("http://twitter.com","Twitter Web Client")</f>
        <v>Twitter Web Client</v>
      </c>
      <c r="L213" s="13">
        <v>2602</v>
      </c>
      <c r="M213" s="13">
        <v>2659</v>
      </c>
      <c r="N213" s="13">
        <v>36</v>
      </c>
      <c r="O213" s="15"/>
      <c r="P213" s="6">
        <v>41811.862916666665</v>
      </c>
      <c r="Q213" s="12"/>
      <c r="R213" s="19"/>
      <c r="S213" s="12"/>
      <c r="T213" s="12"/>
      <c r="U213" s="10" t="str">
        <f>HYPERLINK("https://pbs.twimg.com/profile_images/509685316119437312/I16ksLJZ.jpeg","View")</f>
        <v>View</v>
      </c>
    </row>
    <row r="214" spans="1:21" ht="51">
      <c r="A214" s="6">
        <v>43427.022615740745</v>
      </c>
      <c r="B214" s="7" t="str">
        <f>HYPERLINK("https://twitter.com/elvimarpal5","@elvimarpal5")</f>
        <v>@elvimarpal5</v>
      </c>
      <c r="C214" s="8" t="s">
        <v>761</v>
      </c>
      <c r="D214" s="9" t="s">
        <v>762</v>
      </c>
      <c r="E214" s="10" t="str">
        <f>HYPERLINK("https://twitter.com/elvimarpal5/status/1065749913747841025","1065749913747841025")</f>
        <v>1065749913747841025</v>
      </c>
      <c r="F214" s="12"/>
      <c r="G214" s="11" t="s">
        <v>763</v>
      </c>
      <c r="H214" s="12"/>
      <c r="I214" s="13">
        <v>14</v>
      </c>
      <c r="J214" s="13">
        <v>14</v>
      </c>
      <c r="K214" s="14" t="str">
        <f t="shared" ref="K214:K215" si="47">HYPERLINK("http://twitter.com/download/iphone","Twitter for iPhone")</f>
        <v>Twitter for iPhone</v>
      </c>
      <c r="L214" s="13">
        <v>618</v>
      </c>
      <c r="M214" s="13">
        <v>1037</v>
      </c>
      <c r="N214" s="13">
        <v>4</v>
      </c>
      <c r="O214" s="15"/>
      <c r="P214" s="6">
        <v>41919.495289351849</v>
      </c>
      <c r="Q214" s="16" t="s">
        <v>764</v>
      </c>
      <c r="R214" s="17" t="s">
        <v>765</v>
      </c>
      <c r="S214" s="11" t="s">
        <v>766</v>
      </c>
      <c r="T214" s="12"/>
      <c r="U214" s="10" t="str">
        <f>HYPERLINK("https://pbs.twimg.com/profile_images/660152212035907585/kD3rqz5z.jpg","View")</f>
        <v>View</v>
      </c>
    </row>
    <row r="215" spans="1:21" ht="20.399999999999999">
      <c r="A215" s="6">
        <v>43427.017141203702</v>
      </c>
      <c r="B215" s="7" t="str">
        <f>HYPERLINK("https://twitter.com/ruthmoroniza","@ruthmoroniza")</f>
        <v>@ruthmoroniza</v>
      </c>
      <c r="C215" s="8" t="s">
        <v>1298</v>
      </c>
      <c r="D215" s="9" t="s">
        <v>1299</v>
      </c>
      <c r="E215" s="10" t="str">
        <f>HYPERLINK("https://twitter.com/ruthmoroniza/status/1065747927816122368","1065747927816122368")</f>
        <v>1065747927816122368</v>
      </c>
      <c r="F215" s="11" t="s">
        <v>635</v>
      </c>
      <c r="G215" s="12"/>
      <c r="H215" s="12"/>
      <c r="I215" s="13">
        <v>0</v>
      </c>
      <c r="J215" s="13">
        <v>0</v>
      </c>
      <c r="K215" s="14" t="str">
        <f t="shared" si="47"/>
        <v>Twitter for iPhone</v>
      </c>
      <c r="L215" s="13">
        <v>535</v>
      </c>
      <c r="M215" s="13">
        <v>700</v>
      </c>
      <c r="N215" s="13">
        <v>17</v>
      </c>
      <c r="O215" s="15"/>
      <c r="P215" s="6">
        <v>39946.110752314817</v>
      </c>
      <c r="Q215" s="16" t="s">
        <v>1302</v>
      </c>
      <c r="R215" s="17" t="s">
        <v>1303</v>
      </c>
      <c r="S215" s="12"/>
      <c r="T215" s="12"/>
      <c r="U215" s="10" t="str">
        <f>HYPERLINK("https://pbs.twimg.com/profile_images/3090372604/20c914083bebe1d2c84c35205739c741.jpeg","View")</f>
        <v>View</v>
      </c>
    </row>
    <row r="216" spans="1:21" ht="81.599999999999994">
      <c r="A216" s="6">
        <v>43427.017037037032</v>
      </c>
      <c r="B216" s="7" t="str">
        <f>HYPERLINK("https://twitter.com/LuisBatteman","@LuisBatteman")</f>
        <v>@LuisBatteman</v>
      </c>
      <c r="C216" s="8" t="s">
        <v>769</v>
      </c>
      <c r="D216" s="9" t="s">
        <v>770</v>
      </c>
      <c r="E216" s="10" t="str">
        <f>HYPERLINK("https://twitter.com/LuisBatteman/status/1065747889245364224","1065747889245364224")</f>
        <v>1065747889245364224</v>
      </c>
      <c r="F216" s="11" t="s">
        <v>773</v>
      </c>
      <c r="G216" s="12"/>
      <c r="H216" s="12"/>
      <c r="I216" s="13">
        <v>0</v>
      </c>
      <c r="J216" s="13">
        <v>0</v>
      </c>
      <c r="K216" s="14" t="str">
        <f>HYPERLINK("http://twitter.com/download/android","Twitter for Android")</f>
        <v>Twitter for Android</v>
      </c>
      <c r="L216" s="13">
        <v>1731</v>
      </c>
      <c r="M216" s="13">
        <v>2195</v>
      </c>
      <c r="N216" s="13">
        <v>31</v>
      </c>
      <c r="O216" s="15"/>
      <c r="P216" s="6">
        <v>40122.007476851853</v>
      </c>
      <c r="Q216" s="16" t="s">
        <v>774</v>
      </c>
      <c r="R216" s="17" t="s">
        <v>775</v>
      </c>
      <c r="S216" s="12"/>
      <c r="T216" s="12"/>
      <c r="U216" s="10" t="str">
        <f>HYPERLINK("https://pbs.twimg.com/profile_images/730904453025546242/36bcf-X7.jpg","View")</f>
        <v>View</v>
      </c>
    </row>
    <row r="217" spans="1:21" ht="30.6">
      <c r="A217" s="6">
        <v>43427.016215277778</v>
      </c>
      <c r="B217" s="7" t="str">
        <f>HYPERLINK("https://twitter.com/RafaHumildad","@RafaHumildad")</f>
        <v>@RafaHumildad</v>
      </c>
      <c r="C217" s="8" t="s">
        <v>776</v>
      </c>
      <c r="D217" s="9" t="s">
        <v>777</v>
      </c>
      <c r="E217" s="10" t="str">
        <f>HYPERLINK("https://twitter.com/RafaHumildad/status/1065747591349092353","1065747591349092353")</f>
        <v>1065747591349092353</v>
      </c>
      <c r="F217" s="12"/>
      <c r="G217" s="12"/>
      <c r="H217" s="12"/>
      <c r="I217" s="13">
        <v>0</v>
      </c>
      <c r="J217" s="13">
        <v>0</v>
      </c>
      <c r="K217" s="14" t="str">
        <f>HYPERLINK("http://twitter.com","Twitter Web Client")</f>
        <v>Twitter Web Client</v>
      </c>
      <c r="L217" s="13">
        <v>997</v>
      </c>
      <c r="M217" s="13">
        <v>1149</v>
      </c>
      <c r="N217" s="13">
        <v>15</v>
      </c>
      <c r="O217" s="15"/>
      <c r="P217" s="6">
        <v>40140.140729166669</v>
      </c>
      <c r="Q217" s="12"/>
      <c r="R217" s="17" t="s">
        <v>778</v>
      </c>
      <c r="S217" s="12"/>
      <c r="T217" s="12"/>
      <c r="U217" s="10" t="str">
        <f>HYPERLINK("https://pbs.twimg.com/profile_images/949426795161489411/C_pVNSMb.jpg","View")</f>
        <v>View</v>
      </c>
    </row>
    <row r="218" spans="1:21" ht="51">
      <c r="A218" s="6">
        <v>43427.016006944439</v>
      </c>
      <c r="B218" s="7" t="str">
        <f>HYPERLINK("https://twitter.com/azukikiyo","@azukikiyo")</f>
        <v>@azukikiyo</v>
      </c>
      <c r="C218" s="8" t="s">
        <v>781</v>
      </c>
      <c r="D218" s="9" t="s">
        <v>782</v>
      </c>
      <c r="E218" s="10" t="str">
        <f>HYPERLINK("https://twitter.com/azukikiyo/status/1065747518099767296","1065747518099767296")</f>
        <v>1065747518099767296</v>
      </c>
      <c r="F218" s="16" t="s">
        <v>786</v>
      </c>
      <c r="G218" s="12"/>
      <c r="H218" s="12"/>
      <c r="I218" s="13">
        <v>2</v>
      </c>
      <c r="J218" s="13">
        <v>5</v>
      </c>
      <c r="K218" s="14" t="str">
        <f>HYPERLINK("http://twitter.com/download/android","Twitter for Android")</f>
        <v>Twitter for Android</v>
      </c>
      <c r="L218" s="13">
        <v>12548</v>
      </c>
      <c r="M218" s="13">
        <v>13192</v>
      </c>
      <c r="N218" s="13">
        <v>62</v>
      </c>
      <c r="O218" s="15"/>
      <c r="P218" s="6">
        <v>40154.67833333333</v>
      </c>
      <c r="Q218" s="16" t="s">
        <v>787</v>
      </c>
      <c r="R218" s="17" t="s">
        <v>788</v>
      </c>
      <c r="S218" s="12"/>
      <c r="T218" s="12"/>
      <c r="U218" s="10" t="str">
        <f>HYPERLINK("https://pbs.twimg.com/profile_images/1041430015232143360/ybAwcldg.jpg","View")</f>
        <v>View</v>
      </c>
    </row>
    <row r="219" spans="1:21" ht="51">
      <c r="A219" s="6">
        <v>43427.015949074077</v>
      </c>
      <c r="B219" s="7" t="str">
        <f>HYPERLINK("https://twitter.com/RafaHumildad","@RafaHumildad")</f>
        <v>@RafaHumildad</v>
      </c>
      <c r="C219" s="8" t="s">
        <v>776</v>
      </c>
      <c r="D219" s="9" t="s">
        <v>789</v>
      </c>
      <c r="E219" s="10" t="str">
        <f>HYPERLINK("https://twitter.com/RafaHumildad/status/1065747498424299522","1065747498424299522")</f>
        <v>1065747498424299522</v>
      </c>
      <c r="F219" s="12"/>
      <c r="G219" s="12"/>
      <c r="H219" s="12"/>
      <c r="I219" s="13">
        <v>0</v>
      </c>
      <c r="J219" s="13">
        <v>0</v>
      </c>
      <c r="K219" s="14" t="str">
        <f>HYPERLINK("http://twitter.com","Twitter Web Client")</f>
        <v>Twitter Web Client</v>
      </c>
      <c r="L219" s="13">
        <v>997</v>
      </c>
      <c r="M219" s="13">
        <v>1149</v>
      </c>
      <c r="N219" s="13">
        <v>15</v>
      </c>
      <c r="O219" s="15"/>
      <c r="P219" s="6">
        <v>40140.140729166669</v>
      </c>
      <c r="Q219" s="12"/>
      <c r="R219" s="17" t="s">
        <v>778</v>
      </c>
      <c r="S219" s="12"/>
      <c r="T219" s="12"/>
      <c r="U219" s="10" t="str">
        <f>HYPERLINK("https://pbs.twimg.com/profile_images/949426795161489411/C_pVNSMb.jpg","View")</f>
        <v>View</v>
      </c>
    </row>
    <row r="220" spans="1:21" ht="30.6">
      <c r="A220" s="6">
        <v>43427.007488425923</v>
      </c>
      <c r="B220" s="7" t="str">
        <f>HYPERLINK("https://twitter.com/antoniobelmar89","@antoniobelmar89")</f>
        <v>@antoniobelmar89</v>
      </c>
      <c r="C220" s="8" t="s">
        <v>795</v>
      </c>
      <c r="D220" s="9" t="s">
        <v>796</v>
      </c>
      <c r="E220" s="10" t="str">
        <f>HYPERLINK("https://twitter.com/antoniobelmar89/status/1065744431096258560","1065744431096258560")</f>
        <v>1065744431096258560</v>
      </c>
      <c r="F220" s="12"/>
      <c r="G220" s="12"/>
      <c r="H220" s="12"/>
      <c r="I220" s="13">
        <v>0</v>
      </c>
      <c r="J220" s="13">
        <v>0</v>
      </c>
      <c r="K220" s="14" t="str">
        <f>HYPERLINK("http://twitter.com/download/android","Twitter for Android")</f>
        <v>Twitter for Android</v>
      </c>
      <c r="L220" s="13">
        <v>6</v>
      </c>
      <c r="M220" s="13">
        <v>76</v>
      </c>
      <c r="N220" s="13">
        <v>0</v>
      </c>
      <c r="O220" s="15"/>
      <c r="P220" s="6">
        <v>43341.653321759259</v>
      </c>
      <c r="Q220" s="12"/>
      <c r="R220" s="17" t="s">
        <v>797</v>
      </c>
      <c r="S220" s="12"/>
      <c r="T220" s="12"/>
      <c r="U220" s="10" t="str">
        <f>HYPERLINK("https://pbs.twimg.com/profile_images/1062872995281227777/lZlDxNiT.jpg","View")</f>
        <v>View</v>
      </c>
    </row>
    <row r="221" spans="1:21" ht="40.799999999999997">
      <c r="A221" s="6">
        <v>43427.003587962958</v>
      </c>
      <c r="B221" s="7" t="str">
        <f>HYPERLINK("https://twitter.com/LfilodelabrechA","@LfilodelabrechA")</f>
        <v>@LfilodelabrechA</v>
      </c>
      <c r="C221" s="8" t="s">
        <v>1327</v>
      </c>
      <c r="D221" s="9" t="s">
        <v>1328</v>
      </c>
      <c r="E221" s="10" t="str">
        <f>HYPERLINK("https://twitter.com/LfilodelabrechA/status/1065743016017694722","1065743016017694722")</f>
        <v>1065743016017694722</v>
      </c>
      <c r="F221" s="11" t="s">
        <v>1333</v>
      </c>
      <c r="G221" s="11" t="s">
        <v>1334</v>
      </c>
      <c r="H221" s="12"/>
      <c r="I221" s="13">
        <v>0</v>
      </c>
      <c r="J221" s="13">
        <v>1</v>
      </c>
      <c r="K221" s="14" t="str">
        <f>HYPERLINK("http://twitter.com","Twitter Web Client")</f>
        <v>Twitter Web Client</v>
      </c>
      <c r="L221" s="13">
        <v>21281</v>
      </c>
      <c r="M221" s="13">
        <v>16077</v>
      </c>
      <c r="N221" s="13">
        <v>155</v>
      </c>
      <c r="O221" s="15"/>
      <c r="P221" s="6">
        <v>41995.189953703702</v>
      </c>
      <c r="Q221" s="16" t="s">
        <v>1338</v>
      </c>
      <c r="R221" s="17" t="s">
        <v>1339</v>
      </c>
      <c r="S221" s="11" t="s">
        <v>1340</v>
      </c>
      <c r="T221" s="12"/>
      <c r="U221" s="10" t="str">
        <f>HYPERLINK("https://pbs.twimg.com/profile_images/1015231495512915968/1SaMhOsw.jpg","View")</f>
        <v>View</v>
      </c>
    </row>
    <row r="222" spans="1:21" ht="40.799999999999997">
      <c r="A222" s="6">
        <v>43427.003576388888</v>
      </c>
      <c r="B222" s="7" t="str">
        <f>HYPERLINK("https://twitter.com/MarcoyMedio","@MarcoyMedio")</f>
        <v>@MarcoyMedio</v>
      </c>
      <c r="C222" s="8" t="s">
        <v>802</v>
      </c>
      <c r="D222" s="9" t="s">
        <v>803</v>
      </c>
      <c r="E222" s="10" t="str">
        <f>HYPERLINK("https://twitter.com/MarcoyMedio/status/1065743011873767425","1065743011873767425")</f>
        <v>1065743011873767425</v>
      </c>
      <c r="F222" s="12"/>
      <c r="G222" s="12"/>
      <c r="H222" s="12"/>
      <c r="I222" s="13">
        <v>0</v>
      </c>
      <c r="J222" s="13">
        <v>0</v>
      </c>
      <c r="K222" s="14" t="str">
        <f>HYPERLINK("http://twitter.com/download/android","Twitter for Android")</f>
        <v>Twitter for Android</v>
      </c>
      <c r="L222" s="13">
        <v>44</v>
      </c>
      <c r="M222" s="13">
        <v>240</v>
      </c>
      <c r="N222" s="13">
        <v>0</v>
      </c>
      <c r="O222" s="15"/>
      <c r="P222" s="6">
        <v>43362.593969907408</v>
      </c>
      <c r="Q222" s="12"/>
      <c r="R222" s="17" t="s">
        <v>804</v>
      </c>
      <c r="S222" s="12"/>
      <c r="T222" s="12"/>
      <c r="U222" s="10" t="str">
        <f>HYPERLINK("https://pbs.twimg.com/profile_images/1063219918882185216/na2-twIY.jpg","View")</f>
        <v>View</v>
      </c>
    </row>
    <row r="223" spans="1:21" ht="71.400000000000006">
      <c r="A223" s="6">
        <v>43427.002118055556</v>
      </c>
      <c r="B223" s="7" t="str">
        <f>HYPERLINK("https://twitter.com/JuanRaBethencou","@JuanRaBethencou")</f>
        <v>@JuanRaBethencou</v>
      </c>
      <c r="C223" s="8" t="s">
        <v>1343</v>
      </c>
      <c r="D223" s="9" t="s">
        <v>1344</v>
      </c>
      <c r="E223" s="10" t="str">
        <f>HYPERLINK("https://twitter.com/JuanRaBethencou/status/1065742484578492416","1065742484578492416")</f>
        <v>1065742484578492416</v>
      </c>
      <c r="F223" s="16" t="s">
        <v>1035</v>
      </c>
      <c r="G223" s="12"/>
      <c r="H223" s="12"/>
      <c r="I223" s="13">
        <v>0</v>
      </c>
      <c r="J223" s="13">
        <v>0</v>
      </c>
      <c r="K223" s="14" t="str">
        <f t="shared" ref="K223:K225" si="48">HYPERLINK("http://twitter.com","Twitter Web Client")</f>
        <v>Twitter Web Client</v>
      </c>
      <c r="L223" s="13">
        <v>474</v>
      </c>
      <c r="M223" s="13">
        <v>1547</v>
      </c>
      <c r="N223" s="13">
        <v>3</v>
      </c>
      <c r="O223" s="15"/>
      <c r="P223" s="6">
        <v>40476.037233796298</v>
      </c>
      <c r="Q223" s="16" t="s">
        <v>1345</v>
      </c>
      <c r="R223" s="17" t="s">
        <v>1346</v>
      </c>
      <c r="S223" s="12"/>
      <c r="T223" s="12"/>
      <c r="U223" s="10" t="str">
        <f>HYPERLINK("https://pbs.twimg.com/profile_images/1185138173/corbata1.jpg","View")</f>
        <v>View</v>
      </c>
    </row>
    <row r="224" spans="1:21" ht="40.799999999999997">
      <c r="A224" s="6">
        <v>43427.001111111109</v>
      </c>
      <c r="B224" s="7" t="str">
        <f>HYPERLINK("https://twitter.com/Noticias24horas","@Noticias24horas")</f>
        <v>@Noticias24horas</v>
      </c>
      <c r="C224" s="8" t="s">
        <v>120</v>
      </c>
      <c r="D224" s="9" t="s">
        <v>1349</v>
      </c>
      <c r="E224" s="10" t="str">
        <f>HYPERLINK("https://twitter.com/Noticias24horas/status/1065742120923947008","1065742120923947008")</f>
        <v>1065742120923947008</v>
      </c>
      <c r="F224" s="11" t="s">
        <v>122</v>
      </c>
      <c r="G224" s="11" t="s">
        <v>1352</v>
      </c>
      <c r="H224" s="12"/>
      <c r="I224" s="13">
        <v>0</v>
      </c>
      <c r="J224" s="13">
        <v>0</v>
      </c>
      <c r="K224" s="14" t="str">
        <f t="shared" si="48"/>
        <v>Twitter Web Client</v>
      </c>
      <c r="L224" s="13">
        <v>47981</v>
      </c>
      <c r="M224" s="13">
        <v>14451</v>
      </c>
      <c r="N224" s="13">
        <v>623</v>
      </c>
      <c r="O224" s="15"/>
      <c r="P224" s="6">
        <v>39799.161666666667</v>
      </c>
      <c r="Q224" s="16" t="s">
        <v>125</v>
      </c>
      <c r="R224" s="17" t="s">
        <v>127</v>
      </c>
      <c r="S224" s="11" t="s">
        <v>128</v>
      </c>
      <c r="T224" s="12"/>
      <c r="U224" s="10" t="str">
        <f>HYPERLINK("https://pbs.twimg.com/profile_images/739091131011567616/GfKL7dJ1.jpg","View")</f>
        <v>View</v>
      </c>
    </row>
    <row r="225" spans="1:21" ht="51">
      <c r="A225" s="6">
        <v>43426.994050925925</v>
      </c>
      <c r="B225" s="7" t="str">
        <f>HYPERLINK("https://twitter.com/FeelFre30265794","@FeelFre30265794")</f>
        <v>@FeelFre30265794</v>
      </c>
      <c r="C225" s="8" t="s">
        <v>1356</v>
      </c>
      <c r="D225" s="9" t="s">
        <v>1357</v>
      </c>
      <c r="E225" s="10" t="str">
        <f>HYPERLINK("https://twitter.com/FeelFre30265794/status/1065739562977304576","1065739562977304576")</f>
        <v>1065739562977304576</v>
      </c>
      <c r="F225" s="12"/>
      <c r="G225" s="11" t="s">
        <v>1359</v>
      </c>
      <c r="H225" s="12"/>
      <c r="I225" s="13">
        <v>0</v>
      </c>
      <c r="J225" s="13">
        <v>0</v>
      </c>
      <c r="K225" s="14" t="str">
        <f t="shared" si="48"/>
        <v>Twitter Web Client</v>
      </c>
      <c r="L225" s="13">
        <v>2258</v>
      </c>
      <c r="M225" s="13">
        <v>1864</v>
      </c>
      <c r="N225" s="13">
        <v>11</v>
      </c>
      <c r="O225" s="15"/>
      <c r="P225" s="6">
        <v>43000.856898148151</v>
      </c>
      <c r="Q225" s="12"/>
      <c r="R225" s="17" t="s">
        <v>1360</v>
      </c>
      <c r="S225" s="12"/>
      <c r="T225" s="12"/>
      <c r="U225" s="10" t="str">
        <f>HYPERLINK("https://pbs.twimg.com/profile_images/967874628118040576/GwuvyVUw.jpg","View")</f>
        <v>View</v>
      </c>
    </row>
    <row r="226" spans="1:21" ht="40.799999999999997">
      <c r="A226" s="6">
        <v>43426.991296296299</v>
      </c>
      <c r="B226" s="7" t="str">
        <f>HYPERLINK("https://twitter.com/Houseof_CAT","@Houseof_CAT")</f>
        <v>@Houseof_CAT</v>
      </c>
      <c r="C226" s="8" t="s">
        <v>1363</v>
      </c>
      <c r="D226" s="9" t="s">
        <v>1364</v>
      </c>
      <c r="E226" s="10" t="str">
        <f>HYPERLINK("https://twitter.com/Houseof_CAT/status/1065738561905926144","1065738561905926144")</f>
        <v>1065738561905926144</v>
      </c>
      <c r="F226" s="11" t="s">
        <v>1365</v>
      </c>
      <c r="G226" s="12"/>
      <c r="H226" s="12"/>
      <c r="I226" s="13">
        <v>42</v>
      </c>
      <c r="J226" s="13">
        <v>92</v>
      </c>
      <c r="K226" s="14" t="str">
        <f>HYPERLINK("http://twitter.com/download/iphone","Twitter for iPhone")</f>
        <v>Twitter for iPhone</v>
      </c>
      <c r="L226" s="13">
        <v>25833</v>
      </c>
      <c r="M226" s="13">
        <v>4945</v>
      </c>
      <c r="N226" s="13">
        <v>119</v>
      </c>
      <c r="O226" s="15"/>
      <c r="P226" s="6">
        <v>42973.672824074078</v>
      </c>
      <c r="Q226" s="16" t="s">
        <v>204</v>
      </c>
      <c r="R226" s="17" t="s">
        <v>1367</v>
      </c>
      <c r="S226" s="12"/>
      <c r="T226" s="12"/>
      <c r="U226" s="10" t="str">
        <f>HYPERLINK("https://pbs.twimg.com/profile_images/974036873483079682/Cd-JhYW_.jpg","View")</f>
        <v>View</v>
      </c>
    </row>
    <row r="227" spans="1:21" ht="40.799999999999997">
      <c r="A227" s="6">
        <v>43426.990277777775</v>
      </c>
      <c r="B227" s="7" t="str">
        <f>HYPERLINK("https://twitter.com/elnacionalcat_e","@elnacionalcat_e")</f>
        <v>@elnacionalcat_e</v>
      </c>
      <c r="C227" s="8" t="s">
        <v>1368</v>
      </c>
      <c r="D227" s="9" t="s">
        <v>1369</v>
      </c>
      <c r="E227" s="10" t="str">
        <f>HYPERLINK("https://twitter.com/elnacionalcat_e/status/1065738193037778944","1065738193037778944")</f>
        <v>1065738193037778944</v>
      </c>
      <c r="F227" s="11" t="s">
        <v>1372</v>
      </c>
      <c r="G227" s="12"/>
      <c r="H227" s="12"/>
      <c r="I227" s="13">
        <v>1</v>
      </c>
      <c r="J227" s="13">
        <v>2</v>
      </c>
      <c r="K227" s="14" t="str">
        <f>HYPERLINK("https://about.twitter.com/products/tweetdeck","TweetDeck")</f>
        <v>TweetDeck</v>
      </c>
      <c r="L227" s="13">
        <v>5489</v>
      </c>
      <c r="M227" s="13">
        <v>355</v>
      </c>
      <c r="N227" s="13">
        <v>167</v>
      </c>
      <c r="O227" s="15"/>
      <c r="P227" s="6">
        <v>42247.840567129635</v>
      </c>
      <c r="Q227" s="16" t="s">
        <v>421</v>
      </c>
      <c r="R227" s="17" t="s">
        <v>1374</v>
      </c>
      <c r="S227" s="11" t="s">
        <v>1375</v>
      </c>
      <c r="T227" s="12"/>
      <c r="U227" s="10" t="str">
        <f>HYPERLINK("https://pbs.twimg.com/profile_images/646298514385960960/VEutSP7L.png","View")</f>
        <v>View</v>
      </c>
    </row>
    <row r="228" spans="1:21" ht="91.8">
      <c r="A228" s="6">
        <v>43426.987557870365</v>
      </c>
      <c r="B228" s="7" t="str">
        <f>HYPERLINK("https://twitter.com/LuisBatteman","@LuisBatteman")</f>
        <v>@LuisBatteman</v>
      </c>
      <c r="C228" s="8" t="s">
        <v>769</v>
      </c>
      <c r="D228" s="9" t="s">
        <v>805</v>
      </c>
      <c r="E228" s="10" t="str">
        <f>HYPERLINK("https://twitter.com/LuisBatteman/status/1065737209553317888","1065737209553317888")</f>
        <v>1065737209553317888</v>
      </c>
      <c r="F228" s="16" t="s">
        <v>806</v>
      </c>
      <c r="G228" s="12"/>
      <c r="H228" s="12"/>
      <c r="I228" s="13">
        <v>5</v>
      </c>
      <c r="J228" s="13">
        <v>2</v>
      </c>
      <c r="K228" s="14" t="str">
        <f t="shared" ref="K228:K230" si="49">HYPERLINK("http://twitter.com/download/android","Twitter for Android")</f>
        <v>Twitter for Android</v>
      </c>
      <c r="L228" s="13">
        <v>1731</v>
      </c>
      <c r="M228" s="13">
        <v>2195</v>
      </c>
      <c r="N228" s="13">
        <v>31</v>
      </c>
      <c r="O228" s="15"/>
      <c r="P228" s="6">
        <v>40122.007476851853</v>
      </c>
      <c r="Q228" s="16" t="s">
        <v>774</v>
      </c>
      <c r="R228" s="17" t="s">
        <v>775</v>
      </c>
      <c r="S228" s="12"/>
      <c r="T228" s="12"/>
      <c r="U228" s="10" t="str">
        <f>HYPERLINK("https://pbs.twimg.com/profile_images/730904453025546242/36bcf-X7.jpg","View")</f>
        <v>View</v>
      </c>
    </row>
    <row r="229" spans="1:21" ht="40.799999999999997">
      <c r="A229" s="6">
        <v>43426.98436342593</v>
      </c>
      <c r="B229" s="7" t="str">
        <f>HYPERLINK("https://twitter.com/jordiponsgarcia","@jordiponsgarcia")</f>
        <v>@jordiponsgarcia</v>
      </c>
      <c r="C229" s="8" t="s">
        <v>807</v>
      </c>
      <c r="D229" s="9" t="s">
        <v>808</v>
      </c>
      <c r="E229" s="10" t="str">
        <f>HYPERLINK("https://twitter.com/jordiponsgarcia/status/1065736051447291904","1065736051447291904")</f>
        <v>1065736051447291904</v>
      </c>
      <c r="F229" s="12"/>
      <c r="G229" s="11" t="s">
        <v>809</v>
      </c>
      <c r="H229" s="12"/>
      <c r="I229" s="13">
        <v>2</v>
      </c>
      <c r="J229" s="13">
        <v>1</v>
      </c>
      <c r="K229" s="14" t="str">
        <f t="shared" si="49"/>
        <v>Twitter for Android</v>
      </c>
      <c r="L229" s="13">
        <v>386</v>
      </c>
      <c r="M229" s="13">
        <v>737</v>
      </c>
      <c r="N229" s="13">
        <v>0</v>
      </c>
      <c r="O229" s="15"/>
      <c r="P229" s="6">
        <v>42636.47184027778</v>
      </c>
      <c r="Q229" s="16" t="s">
        <v>810</v>
      </c>
      <c r="R229" s="19"/>
      <c r="S229" s="12"/>
      <c r="T229" s="12"/>
      <c r="U229" s="10" t="str">
        <f>HYPERLINK("https://pbs.twimg.com/profile_images/1051133475510726656/FAQcvB1u.jpg","View")</f>
        <v>View</v>
      </c>
    </row>
    <row r="230" spans="1:21" ht="20.399999999999999">
      <c r="A230" s="6">
        <v>43426.980312500003</v>
      </c>
      <c r="B230" s="7" t="str">
        <f>HYPERLINK("https://twitter.com/ElGollumFumeta","@ElGollumFumeta")</f>
        <v>@ElGollumFumeta</v>
      </c>
      <c r="C230" s="8" t="s">
        <v>1382</v>
      </c>
      <c r="D230" s="9" t="s">
        <v>1383</v>
      </c>
      <c r="E230" s="10" t="str">
        <f>HYPERLINK("https://twitter.com/ElGollumFumeta/status/1065734583503720448","1065734583503720448")</f>
        <v>1065734583503720448</v>
      </c>
      <c r="F230" s="12"/>
      <c r="G230" s="12"/>
      <c r="H230" s="12"/>
      <c r="I230" s="13">
        <v>1</v>
      </c>
      <c r="J230" s="13">
        <v>2</v>
      </c>
      <c r="K230" s="14" t="str">
        <f t="shared" si="49"/>
        <v>Twitter for Android</v>
      </c>
      <c r="L230" s="13">
        <v>711</v>
      </c>
      <c r="M230" s="13">
        <v>513</v>
      </c>
      <c r="N230" s="13">
        <v>14</v>
      </c>
      <c r="O230" s="15"/>
      <c r="P230" s="6">
        <v>41932.614259259259</v>
      </c>
      <c r="Q230" s="16" t="s">
        <v>1384</v>
      </c>
      <c r="R230" s="17" t="s">
        <v>1385</v>
      </c>
      <c r="S230" s="12"/>
      <c r="T230" s="12"/>
      <c r="U230" s="10" t="str">
        <f>HYPERLINK("https://pbs.twimg.com/profile_images/935571951589916673/0aZT5Ck3.jpg","View")</f>
        <v>View</v>
      </c>
    </row>
    <row r="231" spans="1:21" ht="20.399999999999999">
      <c r="A231" s="6">
        <v>43426.977731481486</v>
      </c>
      <c r="B231" s="7" t="str">
        <f>HYPERLINK("https://twitter.com/manufa1955","@manufa1955")</f>
        <v>@manufa1955</v>
      </c>
      <c r="C231" s="8" t="s">
        <v>1389</v>
      </c>
      <c r="D231" s="9" t="s">
        <v>1390</v>
      </c>
      <c r="E231" s="10" t="str">
        <f>HYPERLINK("https://twitter.com/manufa1955/status/1065733646194278400","1065733646194278400")</f>
        <v>1065733646194278400</v>
      </c>
      <c r="F231" s="11" t="s">
        <v>1393</v>
      </c>
      <c r="G231" s="12"/>
      <c r="H231" s="12"/>
      <c r="I231" s="13">
        <v>0</v>
      </c>
      <c r="J231" s="13">
        <v>0</v>
      </c>
      <c r="K231" s="14" t="str">
        <f>HYPERLINK("http://www.facebook.com/twitter","Facebook")</f>
        <v>Facebook</v>
      </c>
      <c r="L231" s="13">
        <v>176</v>
      </c>
      <c r="M231" s="13">
        <v>48</v>
      </c>
      <c r="N231" s="13">
        <v>6</v>
      </c>
      <c r="O231" s="15"/>
      <c r="P231" s="6">
        <v>40460.974108796298</v>
      </c>
      <c r="Q231" s="16" t="s">
        <v>1396</v>
      </c>
      <c r="R231" s="19"/>
      <c r="S231" s="11" t="s">
        <v>1397</v>
      </c>
      <c r="T231" s="12"/>
      <c r="U231" s="10" t="str">
        <f>HYPERLINK("https://pbs.twimg.com/profile_images/3556471273/b12f18f17841bf308162a9bc287448d3.jpeg","View")</f>
        <v>View</v>
      </c>
    </row>
    <row r="232" spans="1:21" ht="51">
      <c r="A232" s="6">
        <v>43426.976504629631</v>
      </c>
      <c r="B232" s="7" t="str">
        <f>HYPERLINK("https://twitter.com/flagelarte","@flagelarte")</f>
        <v>@flagelarte</v>
      </c>
      <c r="C232" s="8" t="s">
        <v>1399</v>
      </c>
      <c r="D232" s="9" t="s">
        <v>1400</v>
      </c>
      <c r="E232" s="10" t="str">
        <f>HYPERLINK("https://twitter.com/flagelarte/status/1065733200545239040","1065733200545239040")</f>
        <v>1065733200545239040</v>
      </c>
      <c r="F232" s="11" t="s">
        <v>1401</v>
      </c>
      <c r="G232" s="12"/>
      <c r="H232" s="12"/>
      <c r="I232" s="13">
        <v>0</v>
      </c>
      <c r="J232" s="13">
        <v>0</v>
      </c>
      <c r="K232" s="14" t="str">
        <f>HYPERLINK("http://twitter.com/#!/download/ipad","Twitter for iPad")</f>
        <v>Twitter for iPad</v>
      </c>
      <c r="L232" s="13">
        <v>464</v>
      </c>
      <c r="M232" s="13">
        <v>425</v>
      </c>
      <c r="N232" s="13">
        <v>17</v>
      </c>
      <c r="O232" s="15"/>
      <c r="P232" s="6">
        <v>40626.802476851852</v>
      </c>
      <c r="Q232" s="12"/>
      <c r="R232" s="17" t="s">
        <v>1404</v>
      </c>
      <c r="S232" s="12"/>
      <c r="T232" s="12"/>
      <c r="U232" s="10" t="str">
        <f>HYPERLINK("https://pbs.twimg.com/profile_images/1064791752823984131/uDB5MZK3.jpg","View")</f>
        <v>View</v>
      </c>
    </row>
    <row r="233" spans="1:21" ht="51">
      <c r="A233" s="6">
        <v>43426.97488425926</v>
      </c>
      <c r="B233" s="7" t="str">
        <f>HYPERLINK("https://twitter.com/PatriEAF","@PatriEAF")</f>
        <v>@PatriEAF</v>
      </c>
      <c r="C233" s="8" t="s">
        <v>811</v>
      </c>
      <c r="D233" s="9" t="s">
        <v>812</v>
      </c>
      <c r="E233" s="10" t="str">
        <f>HYPERLINK("https://twitter.com/PatriEAF/status/1065732613233610752","1065732613233610752")</f>
        <v>1065732613233610752</v>
      </c>
      <c r="F233" s="11" t="s">
        <v>813</v>
      </c>
      <c r="G233" s="12"/>
      <c r="H233" s="12"/>
      <c r="I233" s="13">
        <v>0</v>
      </c>
      <c r="J233" s="13">
        <v>0</v>
      </c>
      <c r="K233" s="14" t="str">
        <f>HYPERLINK("http://twitter.com/download/android","Twitter for Android")</f>
        <v>Twitter for Android</v>
      </c>
      <c r="L233" s="13">
        <v>59</v>
      </c>
      <c r="M233" s="13">
        <v>228</v>
      </c>
      <c r="N233" s="13">
        <v>0</v>
      </c>
      <c r="O233" s="15"/>
      <c r="P233" s="6">
        <v>41800.509131944447</v>
      </c>
      <c r="Q233" s="16" t="s">
        <v>106</v>
      </c>
      <c r="R233" s="17" t="s">
        <v>816</v>
      </c>
      <c r="S233" s="12"/>
      <c r="T233" s="12"/>
      <c r="U233" s="10" t="str">
        <f>HYPERLINK("https://pbs.twimg.com/profile_images/476307960964984832/4p0cJbqc.jpeg","View")</f>
        <v>View</v>
      </c>
    </row>
    <row r="234" spans="1:21" ht="61.2">
      <c r="A234" s="6">
        <v>43426.973530092597</v>
      </c>
      <c r="B234" s="7" t="str">
        <f>HYPERLINK("https://twitter.com/elgrillohispano","@elgrillohispano")</f>
        <v>@elgrillohispano</v>
      </c>
      <c r="C234" s="8" t="s">
        <v>819</v>
      </c>
      <c r="D234" s="9" t="s">
        <v>820</v>
      </c>
      <c r="E234" s="10" t="str">
        <f>HYPERLINK("https://twitter.com/elgrillohispano/status/1065732125197049857","1065732125197049857")</f>
        <v>1065732125197049857</v>
      </c>
      <c r="F234" s="11" t="s">
        <v>822</v>
      </c>
      <c r="G234" s="12"/>
      <c r="H234" s="12"/>
      <c r="I234" s="13">
        <v>0</v>
      </c>
      <c r="J234" s="13">
        <v>0</v>
      </c>
      <c r="K234" s="14" t="str">
        <f>HYPERLINK("http://twitter.com","Twitter Web Client")</f>
        <v>Twitter Web Client</v>
      </c>
      <c r="L234" s="13">
        <v>753</v>
      </c>
      <c r="M234" s="13">
        <v>1122</v>
      </c>
      <c r="N234" s="13">
        <v>20</v>
      </c>
      <c r="O234" s="15"/>
      <c r="P234" s="6">
        <v>40837.094050925924</v>
      </c>
      <c r="Q234" s="16" t="s">
        <v>823</v>
      </c>
      <c r="R234" s="17" t="s">
        <v>824</v>
      </c>
      <c r="S234" s="12"/>
      <c r="T234" s="12"/>
      <c r="U234" s="10" t="str">
        <f>HYPERLINK("https://pbs.twimg.com/profile_images/476705551909265408/6lNjULWd.jpeg","View")</f>
        <v>View</v>
      </c>
    </row>
    <row r="235" spans="1:21" ht="30.6">
      <c r="A235" s="6">
        <v>43426.971828703703</v>
      </c>
      <c r="B235" s="7" t="str">
        <f>HYPERLINK("https://twitter.com/JessMar74026841","@JessMar74026841")</f>
        <v>@JessMar74026841</v>
      </c>
      <c r="C235" s="8" t="s">
        <v>1409</v>
      </c>
      <c r="D235" s="9" t="s">
        <v>1410</v>
      </c>
      <c r="E235" s="10" t="str">
        <f>HYPERLINK("https://twitter.com/JessMar74026841/status/1065731509053730816","1065731509053730816")</f>
        <v>1065731509053730816</v>
      </c>
      <c r="F235" s="12"/>
      <c r="G235" s="11" t="s">
        <v>1412</v>
      </c>
      <c r="H235" s="12"/>
      <c r="I235" s="13">
        <v>294</v>
      </c>
      <c r="J235" s="13">
        <v>553</v>
      </c>
      <c r="K235" s="14" t="str">
        <f>HYPERLINK("http://twitter.com/download/android","Twitter for Android")</f>
        <v>Twitter for Android</v>
      </c>
      <c r="L235" s="13">
        <v>246</v>
      </c>
      <c r="M235" s="13">
        <v>302</v>
      </c>
      <c r="N235" s="13">
        <v>0</v>
      </c>
      <c r="O235" s="15"/>
      <c r="P235" s="6">
        <v>43422.000127314815</v>
      </c>
      <c r="Q235" s="12"/>
      <c r="R235" s="17" t="s">
        <v>1414</v>
      </c>
      <c r="S235" s="12"/>
      <c r="T235" s="12"/>
      <c r="U235" s="10" t="str">
        <f>HYPERLINK("https://pbs.twimg.com/profile_images/1063952006702866432/DG4QTJf2.jpg","View")</f>
        <v>View</v>
      </c>
    </row>
    <row r="236" spans="1:21" ht="40.799999999999997">
      <c r="A236" s="6">
        <v>43426.969236111108</v>
      </c>
      <c r="B236" s="7" t="str">
        <f>HYPERLINK("https://twitter.com/MaHijano_Cs","@MaHijano_Cs")</f>
        <v>@MaHijano_Cs</v>
      </c>
      <c r="C236" s="8" t="s">
        <v>829</v>
      </c>
      <c r="D236" s="9" t="s">
        <v>830</v>
      </c>
      <c r="E236" s="10" t="str">
        <f>HYPERLINK("https://twitter.com/MaHijano_Cs/status/1065730568673988609","1065730568673988609")</f>
        <v>1065730568673988609</v>
      </c>
      <c r="F236" s="12"/>
      <c r="G236" s="11" t="s">
        <v>831</v>
      </c>
      <c r="H236" s="12"/>
      <c r="I236" s="13">
        <v>1</v>
      </c>
      <c r="J236" s="13">
        <v>2</v>
      </c>
      <c r="K236" s="14" t="str">
        <f>HYPERLINK("http://twitter.com/download/iphone","Twitter for iPhone")</f>
        <v>Twitter for iPhone</v>
      </c>
      <c r="L236" s="13">
        <v>593</v>
      </c>
      <c r="M236" s="13">
        <v>358</v>
      </c>
      <c r="N236" s="13">
        <v>5</v>
      </c>
      <c r="O236" s="15"/>
      <c r="P236" s="6">
        <v>41964.413321759261</v>
      </c>
      <c r="Q236" s="16" t="s">
        <v>834</v>
      </c>
      <c r="R236" s="17" t="s">
        <v>835</v>
      </c>
      <c r="S236" s="12"/>
      <c r="T236" s="12"/>
      <c r="U236" s="10" t="str">
        <f>HYPERLINK("https://pbs.twimg.com/profile_images/1060665243356094469/KKTEhFth.jpg","View")</f>
        <v>View</v>
      </c>
    </row>
    <row r="237" spans="1:21" ht="40.799999999999997">
      <c r="A237" s="6">
        <v>43426.964097222226</v>
      </c>
      <c r="B237" s="7" t="str">
        <f>HYPERLINK("https://twitter.com/damasco1812","@damasco1812")</f>
        <v>@damasco1812</v>
      </c>
      <c r="C237" s="8" t="s">
        <v>1417</v>
      </c>
      <c r="D237" s="9" t="s">
        <v>1419</v>
      </c>
      <c r="E237" s="10" t="str">
        <f>HYPERLINK("https://twitter.com/damasco1812/status/1065728704444358657","1065728704444358657")</f>
        <v>1065728704444358657</v>
      </c>
      <c r="F237" s="16" t="s">
        <v>1420</v>
      </c>
      <c r="G237" s="12"/>
      <c r="H237" s="12"/>
      <c r="I237" s="13">
        <v>0</v>
      </c>
      <c r="J237" s="13">
        <v>0</v>
      </c>
      <c r="K237" s="14" t="str">
        <f t="shared" ref="K237:K238" si="50">HYPERLINK("http://twitter.com/download/android","Twitter for Android")</f>
        <v>Twitter for Android</v>
      </c>
      <c r="L237" s="13">
        <v>1259</v>
      </c>
      <c r="M237" s="13">
        <v>1132</v>
      </c>
      <c r="N237" s="13">
        <v>99</v>
      </c>
      <c r="O237" s="15"/>
      <c r="P237" s="6">
        <v>40950.543136574073</v>
      </c>
      <c r="Q237" s="12"/>
      <c r="R237" s="17" t="s">
        <v>1422</v>
      </c>
      <c r="S237" s="12"/>
      <c r="T237" s="12"/>
      <c r="U237" s="10" t="str">
        <f>HYPERLINK("https://pbs.twimg.com/profile_images/1065986061745221632/z4S1U5pT.jpg","View")</f>
        <v>View</v>
      </c>
    </row>
    <row r="238" spans="1:21" ht="30.6">
      <c r="A238" s="6">
        <v>43426.963101851856</v>
      </c>
      <c r="B238" s="7" t="str">
        <f>HYPERLINK("https://twitter.com/sedlr_","@sedlr_")</f>
        <v>@sedlr_</v>
      </c>
      <c r="C238" s="8" t="s">
        <v>1423</v>
      </c>
      <c r="D238" s="9" t="s">
        <v>1424</v>
      </c>
      <c r="E238" s="10" t="str">
        <f>HYPERLINK("https://twitter.com/sedlr_/status/1065728346552758278","1065728346552758278")</f>
        <v>1065728346552758278</v>
      </c>
      <c r="F238" s="12"/>
      <c r="G238" s="11" t="s">
        <v>1426</v>
      </c>
      <c r="H238" s="12"/>
      <c r="I238" s="13">
        <v>4</v>
      </c>
      <c r="J238" s="13">
        <v>6</v>
      </c>
      <c r="K238" s="14" t="str">
        <f t="shared" si="50"/>
        <v>Twitter for Android</v>
      </c>
      <c r="L238" s="13">
        <v>7672</v>
      </c>
      <c r="M238" s="13">
        <v>7329</v>
      </c>
      <c r="N238" s="13">
        <v>33</v>
      </c>
      <c r="O238" s="15"/>
      <c r="P238" s="6">
        <v>41250.693912037037</v>
      </c>
      <c r="Q238" s="16" t="s">
        <v>759</v>
      </c>
      <c r="R238" s="19"/>
      <c r="S238" s="12"/>
      <c r="T238" s="12"/>
      <c r="U238" s="10" t="str">
        <f>HYPERLINK("https://pbs.twimg.com/profile_images/1026984752270782464/dquFa8_K.jpg","View")</f>
        <v>View</v>
      </c>
    </row>
    <row r="239" spans="1:21" ht="20.399999999999999">
      <c r="A239" s="6">
        <v>43426.962222222224</v>
      </c>
      <c r="B239" s="7" t="str">
        <f>HYPERLINK("https://twitter.com/jimyflewty","@jimyflewty")</f>
        <v>@jimyflewty</v>
      </c>
      <c r="C239" s="8" t="s">
        <v>1427</v>
      </c>
      <c r="D239" s="9" t="s">
        <v>1428</v>
      </c>
      <c r="E239" s="10" t="str">
        <f>HYPERLINK("https://twitter.com/jimyflewty/status/1065728026321784833","1065728026321784833")</f>
        <v>1065728026321784833</v>
      </c>
      <c r="F239" s="12"/>
      <c r="G239" s="11" t="s">
        <v>1430</v>
      </c>
      <c r="H239" s="12"/>
      <c r="I239" s="13">
        <v>0</v>
      </c>
      <c r="J239" s="13">
        <v>3</v>
      </c>
      <c r="K239" s="14" t="str">
        <f>HYPERLINK("http://twitter.com/download/iphone","Twitter for iPhone")</f>
        <v>Twitter for iPhone</v>
      </c>
      <c r="L239" s="13">
        <v>140</v>
      </c>
      <c r="M239" s="13">
        <v>256</v>
      </c>
      <c r="N239" s="13">
        <v>1</v>
      </c>
      <c r="O239" s="15"/>
      <c r="P239" s="6">
        <v>42390.927002314813</v>
      </c>
      <c r="Q239" s="16" t="s">
        <v>1432</v>
      </c>
      <c r="R239" s="17" t="s">
        <v>1433</v>
      </c>
      <c r="S239" s="12"/>
      <c r="T239" s="12"/>
      <c r="U239" s="10" t="str">
        <f>HYPERLINK("https://pbs.twimg.com/profile_images/986517825538969600/jEs47bHs.jpg","View")</f>
        <v>View</v>
      </c>
    </row>
    <row r="240" spans="1:21" ht="30.6">
      <c r="A240" s="6">
        <v>43426.961678240739</v>
      </c>
      <c r="B240" s="7" t="str">
        <f>HYPERLINK("https://twitter.com/dherediac","@dherediac")</f>
        <v>@dherediac</v>
      </c>
      <c r="C240" s="8" t="s">
        <v>1434</v>
      </c>
      <c r="D240" s="9" t="s">
        <v>1435</v>
      </c>
      <c r="E240" s="10" t="str">
        <f>HYPERLINK("https://twitter.com/dherediac/status/1065727828480716800","1065727828480716800")</f>
        <v>1065727828480716800</v>
      </c>
      <c r="F240" s="11" t="s">
        <v>1437</v>
      </c>
      <c r="G240" s="11" t="s">
        <v>401</v>
      </c>
      <c r="H240" s="12"/>
      <c r="I240" s="13">
        <v>1</v>
      </c>
      <c r="J240" s="13">
        <v>0</v>
      </c>
      <c r="K240" s="14" t="str">
        <f>HYPERLINK("http://twitter.com/download/android","Twitter for Android")</f>
        <v>Twitter for Android</v>
      </c>
      <c r="L240" s="13">
        <v>2788</v>
      </c>
      <c r="M240" s="13">
        <v>2475</v>
      </c>
      <c r="N240" s="13">
        <v>48</v>
      </c>
      <c r="O240" s="15"/>
      <c r="P240" s="6">
        <v>40879.561365740738</v>
      </c>
      <c r="Q240" s="16" t="s">
        <v>1439</v>
      </c>
      <c r="R240" s="17" t="s">
        <v>1440</v>
      </c>
      <c r="S240" s="12"/>
      <c r="T240" s="12"/>
      <c r="U240" s="10" t="str">
        <f>HYPERLINK("https://pbs.twimg.com/profile_images/534261127069184001/8B8OPpGy.jpeg","View")</f>
        <v>View</v>
      </c>
    </row>
    <row r="241" spans="1:21" ht="40.799999999999997">
      <c r="A241" s="6">
        <v>43426.959722222222</v>
      </c>
      <c r="B241" s="7" t="str">
        <f>HYPERLINK("https://twitter.com/bitMomentum","@bitMomentum")</f>
        <v>@bitMomentum</v>
      </c>
      <c r="C241" s="8" t="s">
        <v>706</v>
      </c>
      <c r="D241" s="9" t="s">
        <v>836</v>
      </c>
      <c r="E241" s="10" t="str">
        <f>HYPERLINK("https://twitter.com/bitMomentum/status/1065727119609741312","1065727119609741312")</f>
        <v>1065727119609741312</v>
      </c>
      <c r="F241" s="12"/>
      <c r="G241" s="12"/>
      <c r="H241" s="12"/>
      <c r="I241" s="13">
        <v>0</v>
      </c>
      <c r="J241" s="13">
        <v>0</v>
      </c>
      <c r="K241" s="14" t="str">
        <f>HYPERLINK("http://www.bitmomentum.com","bitMomentum Bot")</f>
        <v>bitMomentum Bot</v>
      </c>
      <c r="L241" s="13">
        <v>10132</v>
      </c>
      <c r="M241" s="13">
        <v>1060</v>
      </c>
      <c r="N241" s="13">
        <v>262</v>
      </c>
      <c r="O241" s="15"/>
      <c r="P241" s="6">
        <v>41608.667511574073</v>
      </c>
      <c r="Q241" s="12"/>
      <c r="R241" s="17" t="s">
        <v>708</v>
      </c>
      <c r="S241" s="11" t="s">
        <v>709</v>
      </c>
      <c r="T241" s="12"/>
      <c r="U241" s="10" t="str">
        <f>HYPERLINK("https://pbs.twimg.com/profile_images/378800000862185241/20ij2H3u.png","View")</f>
        <v>View</v>
      </c>
    </row>
    <row r="242" spans="1:21" ht="51">
      <c r="A242" s="6">
        <v>43426.957511574074</v>
      </c>
      <c r="B242" s="7" t="str">
        <f>HYPERLINK("https://twitter.com/maximors45","@maximors45")</f>
        <v>@maximors45</v>
      </c>
      <c r="C242" s="8" t="s">
        <v>412</v>
      </c>
      <c r="D242" s="9" t="s">
        <v>840</v>
      </c>
      <c r="E242" s="10" t="str">
        <f>HYPERLINK("https://twitter.com/maximors45/status/1065726318711578629","1065726318711578629")</f>
        <v>1065726318711578629</v>
      </c>
      <c r="F242" s="11" t="s">
        <v>841</v>
      </c>
      <c r="G242" s="12"/>
      <c r="H242" s="12"/>
      <c r="I242" s="13">
        <v>0</v>
      </c>
      <c r="J242" s="13">
        <v>1</v>
      </c>
      <c r="K242" s="14" t="str">
        <f>HYPERLINK("http://twitter.com/download/android","Twitter for Android")</f>
        <v>Twitter for Android</v>
      </c>
      <c r="L242" s="13">
        <v>7321</v>
      </c>
      <c r="M242" s="13">
        <v>6287</v>
      </c>
      <c r="N242" s="13">
        <v>212</v>
      </c>
      <c r="O242" s="15"/>
      <c r="P242" s="6">
        <v>41713.777592592596</v>
      </c>
      <c r="Q242" s="16" t="s">
        <v>416</v>
      </c>
      <c r="R242" s="17" t="s">
        <v>417</v>
      </c>
      <c r="S242" s="12"/>
      <c r="T242" s="12"/>
      <c r="U242" s="10" t="str">
        <f>HYPERLINK("https://pbs.twimg.com/profile_images/1063386537101012998/36434Wof.jpg","View")</f>
        <v>View</v>
      </c>
    </row>
    <row r="243" spans="1:21" ht="20.399999999999999">
      <c r="A243" s="6">
        <v>43426.953541666662</v>
      </c>
      <c r="B243" s="7" t="str">
        <f>HYPERLINK("https://twitter.com/lore9876","@lore9876")</f>
        <v>@lore9876</v>
      </c>
      <c r="C243" s="8" t="s">
        <v>1446</v>
      </c>
      <c r="D243" s="9" t="s">
        <v>632</v>
      </c>
      <c r="E243" s="10" t="str">
        <f>HYPERLINK("https://twitter.com/lore9876/status/1065724882288287744","1065724882288287744")</f>
        <v>1065724882288287744</v>
      </c>
      <c r="F243" s="11" t="s">
        <v>635</v>
      </c>
      <c r="G243" s="12"/>
      <c r="H243" s="12"/>
      <c r="I243" s="13">
        <v>0</v>
      </c>
      <c r="J243" s="13">
        <v>0</v>
      </c>
      <c r="K243" s="14" t="str">
        <f>HYPERLINK("http://twitter.com/download/iphone","Twitter for iPhone")</f>
        <v>Twitter for iPhone</v>
      </c>
      <c r="L243" s="13">
        <v>1368</v>
      </c>
      <c r="M243" s="13">
        <v>1381</v>
      </c>
      <c r="N243" s="13">
        <v>18</v>
      </c>
      <c r="O243" s="15"/>
      <c r="P243" s="6">
        <v>40454.712974537033</v>
      </c>
      <c r="Q243" s="16" t="s">
        <v>496</v>
      </c>
      <c r="R243" s="17" t="s">
        <v>1449</v>
      </c>
      <c r="S243" s="12"/>
      <c r="T243" s="12"/>
      <c r="U243" s="10" t="str">
        <f>HYPERLINK("https://pbs.twimg.com/profile_images/480427623672451072/JSkCrEzn.jpeg","View")</f>
        <v>View</v>
      </c>
    </row>
    <row r="244" spans="1:21" ht="61.2">
      <c r="A244" s="6">
        <v>43426.953530092593</v>
      </c>
      <c r="B244" s="7" t="str">
        <f>HYPERLINK("https://twitter.com/CapPescanova","@CapPescanova")</f>
        <v>@CapPescanova</v>
      </c>
      <c r="C244" s="8" t="s">
        <v>1452</v>
      </c>
      <c r="D244" s="9" t="s">
        <v>1454</v>
      </c>
      <c r="E244" s="10" t="str">
        <f>HYPERLINK("https://twitter.com/CapPescanova/status/1065724875661328384","1065724875661328384")</f>
        <v>1065724875661328384</v>
      </c>
      <c r="F244" s="11" t="s">
        <v>1456</v>
      </c>
      <c r="G244" s="11" t="s">
        <v>1457</v>
      </c>
      <c r="H244" s="12"/>
      <c r="I244" s="13">
        <v>0</v>
      </c>
      <c r="J244" s="13">
        <v>0</v>
      </c>
      <c r="K244" s="14" t="str">
        <f>HYPERLINK("http://twitter.com/download/android","Twitter for Android")</f>
        <v>Twitter for Android</v>
      </c>
      <c r="L244" s="13">
        <v>966</v>
      </c>
      <c r="M244" s="13">
        <v>858</v>
      </c>
      <c r="N244" s="13">
        <v>37</v>
      </c>
      <c r="O244" s="15"/>
      <c r="P244" s="6">
        <v>41148.691643518519</v>
      </c>
      <c r="Q244" s="16" t="s">
        <v>1460</v>
      </c>
      <c r="R244" s="17" t="s">
        <v>1461</v>
      </c>
      <c r="S244" s="11" t="s">
        <v>1462</v>
      </c>
      <c r="T244" s="12"/>
      <c r="U244" s="10" t="str">
        <f>HYPERLINK("https://pbs.twimg.com/profile_images/2549038231/playmobil-captain.jpg","View")</f>
        <v>View</v>
      </c>
    </row>
    <row r="245" spans="1:21" ht="20.399999999999999">
      <c r="A245" s="6">
        <v>43426.953472222223</v>
      </c>
      <c r="B245" s="7" t="str">
        <f>HYPERLINK("https://twitter.com/lore9876","@lore9876")</f>
        <v>@lore9876</v>
      </c>
      <c r="C245" s="8" t="s">
        <v>1446</v>
      </c>
      <c r="D245" s="9" t="s">
        <v>1465</v>
      </c>
      <c r="E245" s="10" t="str">
        <f>HYPERLINK("https://twitter.com/lore9876/status/1065724855650267138","1065724855650267138")</f>
        <v>1065724855650267138</v>
      </c>
      <c r="F245" s="11" t="s">
        <v>1466</v>
      </c>
      <c r="G245" s="12"/>
      <c r="H245" s="12"/>
      <c r="I245" s="13">
        <v>3</v>
      </c>
      <c r="J245" s="13">
        <v>2</v>
      </c>
      <c r="K245" s="14" t="str">
        <f>HYPERLINK("http://twitter.com/download/iphone","Twitter for iPhone")</f>
        <v>Twitter for iPhone</v>
      </c>
      <c r="L245" s="13">
        <v>1368</v>
      </c>
      <c r="M245" s="13">
        <v>1381</v>
      </c>
      <c r="N245" s="13">
        <v>18</v>
      </c>
      <c r="O245" s="15"/>
      <c r="P245" s="6">
        <v>40454.712974537033</v>
      </c>
      <c r="Q245" s="16" t="s">
        <v>496</v>
      </c>
      <c r="R245" s="17" t="s">
        <v>1449</v>
      </c>
      <c r="S245" s="12"/>
      <c r="T245" s="12"/>
      <c r="U245" s="10" t="str">
        <f>HYPERLINK("https://pbs.twimg.com/profile_images/480427623672451072/JSkCrEzn.jpeg","View")</f>
        <v>View</v>
      </c>
    </row>
    <row r="246" spans="1:21" ht="20.399999999999999">
      <c r="A246" s="6">
        <v>43426.952627314815</v>
      </c>
      <c r="B246" s="7" t="str">
        <f t="shared" ref="B246:B247" si="51">HYPERLINK("https://twitter.com/TheCormental","@TheCormental")</f>
        <v>@TheCormental</v>
      </c>
      <c r="C246" s="8" t="s">
        <v>1469</v>
      </c>
      <c r="D246" s="9" t="s">
        <v>1470</v>
      </c>
      <c r="E246" s="10" t="str">
        <f>HYPERLINK("https://twitter.com/TheCormental/status/1065724548903923712","1065724548903923712")</f>
        <v>1065724548903923712</v>
      </c>
      <c r="F246" s="11" t="s">
        <v>1471</v>
      </c>
      <c r="G246" s="12"/>
      <c r="H246" s="12"/>
      <c r="I246" s="13">
        <v>0</v>
      </c>
      <c r="J246" s="13">
        <v>0</v>
      </c>
      <c r="K246" s="14" t="str">
        <f t="shared" ref="K246:K247" si="52">HYPERLINK("https://www.google.com/","Google")</f>
        <v>Google</v>
      </c>
      <c r="L246" s="13">
        <v>614</v>
      </c>
      <c r="M246" s="13">
        <v>1180</v>
      </c>
      <c r="N246" s="13">
        <v>69</v>
      </c>
      <c r="O246" s="15"/>
      <c r="P246" s="6">
        <v>41385.54146990741</v>
      </c>
      <c r="Q246" s="16" t="s">
        <v>1474</v>
      </c>
      <c r="R246" s="17" t="s">
        <v>1475</v>
      </c>
      <c r="S246" s="11" t="s">
        <v>1476</v>
      </c>
      <c r="T246" s="12"/>
      <c r="U246" s="10" t="str">
        <f t="shared" ref="U246:U247" si="53">HYPERLINK("https://pbs.twimg.com/profile_images/960971237940965376/j3ZMhhtA.jpg","View")</f>
        <v>View</v>
      </c>
    </row>
    <row r="247" spans="1:21" ht="20.399999999999999">
      <c r="A247" s="6">
        <v>43426.952604166669</v>
      </c>
      <c r="B247" s="7" t="str">
        <f t="shared" si="51"/>
        <v>@TheCormental</v>
      </c>
      <c r="C247" s="8" t="s">
        <v>1469</v>
      </c>
      <c r="D247" s="9" t="s">
        <v>1470</v>
      </c>
      <c r="E247" s="10" t="str">
        <f>HYPERLINK("https://twitter.com/TheCormental/status/1065724542084091904","1065724542084091904")</f>
        <v>1065724542084091904</v>
      </c>
      <c r="F247" s="11" t="s">
        <v>1471</v>
      </c>
      <c r="G247" s="12"/>
      <c r="H247" s="12"/>
      <c r="I247" s="13">
        <v>0</v>
      </c>
      <c r="J247" s="13">
        <v>0</v>
      </c>
      <c r="K247" s="14" t="str">
        <f t="shared" si="52"/>
        <v>Google</v>
      </c>
      <c r="L247" s="13">
        <v>614</v>
      </c>
      <c r="M247" s="13">
        <v>1180</v>
      </c>
      <c r="N247" s="13">
        <v>69</v>
      </c>
      <c r="O247" s="15"/>
      <c r="P247" s="6">
        <v>41385.54146990741</v>
      </c>
      <c r="Q247" s="16" t="s">
        <v>1474</v>
      </c>
      <c r="R247" s="17" t="s">
        <v>1475</v>
      </c>
      <c r="S247" s="11" t="s">
        <v>1476</v>
      </c>
      <c r="T247" s="12"/>
      <c r="U247" s="10" t="str">
        <f t="shared" si="53"/>
        <v>View</v>
      </c>
    </row>
    <row r="248" spans="1:21" ht="30.6">
      <c r="A248" s="6">
        <v>43426.951574074075</v>
      </c>
      <c r="B248" s="7" t="str">
        <f>HYPERLINK("https://twitter.com/gemma_robles","@gemma_robles")</f>
        <v>@gemma_robles</v>
      </c>
      <c r="C248" s="8" t="s">
        <v>1479</v>
      </c>
      <c r="D248" s="9" t="s">
        <v>1481</v>
      </c>
      <c r="E248" s="10" t="str">
        <f>HYPERLINK("https://twitter.com/gemma_robles/status/1065724166131916800","1065724166131916800")</f>
        <v>1065724166131916800</v>
      </c>
      <c r="F248" s="11" t="s">
        <v>1388</v>
      </c>
      <c r="G248" s="12"/>
      <c r="H248" s="12"/>
      <c r="I248" s="13">
        <v>0</v>
      </c>
      <c r="J248" s="13">
        <v>0</v>
      </c>
      <c r="K248" s="14" t="str">
        <f>HYPERLINK("http://twitter.com/download/iphone","Twitter for iPhone")</f>
        <v>Twitter for iPhone</v>
      </c>
      <c r="L248" s="13">
        <v>4125</v>
      </c>
      <c r="M248" s="13">
        <v>942</v>
      </c>
      <c r="N248" s="13">
        <v>165</v>
      </c>
      <c r="O248" s="15"/>
      <c r="P248" s="6">
        <v>40621.524340277778</v>
      </c>
      <c r="Q248" s="16" t="s">
        <v>496</v>
      </c>
      <c r="R248" s="17" t="s">
        <v>1483</v>
      </c>
      <c r="S248" s="11" t="s">
        <v>1484</v>
      </c>
      <c r="T248" s="12"/>
      <c r="U248" s="10" t="str">
        <f>HYPERLINK("https://pbs.twimg.com/profile_images/1060106525522444289/skXl49N_.jpg","View")</f>
        <v>View</v>
      </c>
    </row>
    <row r="249" spans="1:21" ht="40.799999999999997">
      <c r="A249" s="6">
        <v>43426.951412037037</v>
      </c>
      <c r="B249" s="7" t="str">
        <f>HYPERLINK("https://twitter.com/jpeleval","@jpeleval")</f>
        <v>@jpeleval</v>
      </c>
      <c r="C249" s="8" t="s">
        <v>842</v>
      </c>
      <c r="D249" s="9" t="s">
        <v>844</v>
      </c>
      <c r="E249" s="10" t="str">
        <f>HYPERLINK("https://twitter.com/jpeleval/status/1065724107642277893","1065724107642277893")</f>
        <v>1065724107642277893</v>
      </c>
      <c r="F249" s="11" t="s">
        <v>846</v>
      </c>
      <c r="G249" s="12"/>
      <c r="H249" s="12"/>
      <c r="I249" s="13">
        <v>0</v>
      </c>
      <c r="J249" s="13">
        <v>0</v>
      </c>
      <c r="K249" s="14" t="str">
        <f>HYPERLINK("http://twitter.com/download/android","Twitter for Android")</f>
        <v>Twitter for Android</v>
      </c>
      <c r="L249" s="13">
        <v>315</v>
      </c>
      <c r="M249" s="13">
        <v>666</v>
      </c>
      <c r="N249" s="13">
        <v>9</v>
      </c>
      <c r="O249" s="15"/>
      <c r="P249" s="6">
        <v>40895.759687500002</v>
      </c>
      <c r="Q249" s="16" t="s">
        <v>848</v>
      </c>
      <c r="R249" s="17" t="s">
        <v>849</v>
      </c>
      <c r="S249" s="12"/>
      <c r="T249" s="12"/>
      <c r="U249" s="10" t="str">
        <f>HYPERLINK("https://pbs.twimg.com/profile_images/970894522292015104/HRndDR2I.jpg","View")</f>
        <v>View</v>
      </c>
    </row>
    <row r="250" spans="1:21" ht="40.799999999999997">
      <c r="A250" s="6">
        <v>43426.95008101852</v>
      </c>
      <c r="B250" s="7" t="str">
        <f>HYPERLINK("https://twitter.com/dickie825","@dickie825")</f>
        <v>@dickie825</v>
      </c>
      <c r="C250" s="8" t="s">
        <v>1489</v>
      </c>
      <c r="D250" s="9" t="s">
        <v>1490</v>
      </c>
      <c r="E250" s="10" t="str">
        <f>HYPERLINK("https://twitter.com/dickie825/status/1065723624940699648","1065723624940699648")</f>
        <v>1065723624940699648</v>
      </c>
      <c r="F250" s="11" t="s">
        <v>1493</v>
      </c>
      <c r="G250" s="11" t="s">
        <v>1494</v>
      </c>
      <c r="H250" s="12"/>
      <c r="I250" s="13">
        <v>0</v>
      </c>
      <c r="J250" s="13">
        <v>0</v>
      </c>
      <c r="K250" s="14" t="str">
        <f>HYPERLINK("https://dlvrit.com/","dlvr.it")</f>
        <v>dlvr.it</v>
      </c>
      <c r="L250" s="13">
        <v>3462</v>
      </c>
      <c r="M250" s="13">
        <v>2367</v>
      </c>
      <c r="N250" s="13">
        <v>23</v>
      </c>
      <c r="O250" s="15"/>
      <c r="P250" s="6">
        <v>41702.926354166666</v>
      </c>
      <c r="Q250" s="16" t="s">
        <v>1495</v>
      </c>
      <c r="R250" s="17" t="s">
        <v>1497</v>
      </c>
      <c r="S250" s="11" t="s">
        <v>1498</v>
      </c>
      <c r="T250" s="12"/>
      <c r="U250" s="10" t="str">
        <f>HYPERLINK("https://pbs.twimg.com/profile_images/462982799574581250/pOhVVnh8.png","View")</f>
        <v>View</v>
      </c>
    </row>
    <row r="251" spans="1:21" ht="40.799999999999997">
      <c r="A251" s="6">
        <v>43426.949120370366</v>
      </c>
      <c r="B251" s="7" t="str">
        <f>HYPERLINK("https://twitter.com/molivaresh","@molivaresh")</f>
        <v>@molivaresh</v>
      </c>
      <c r="C251" s="8" t="s">
        <v>850</v>
      </c>
      <c r="D251" s="9" t="s">
        <v>851</v>
      </c>
      <c r="E251" s="10" t="str">
        <f>HYPERLINK("https://twitter.com/molivaresh/status/1065723276729769990","1065723276729769990")</f>
        <v>1065723276729769990</v>
      </c>
      <c r="F251" s="12"/>
      <c r="G251" s="11" t="s">
        <v>852</v>
      </c>
      <c r="H251" s="12"/>
      <c r="I251" s="13">
        <v>2</v>
      </c>
      <c r="J251" s="13">
        <v>2</v>
      </c>
      <c r="K251" s="14" t="str">
        <f>HYPERLINK("http://twitter.com/download/iphone","Twitter for iPhone")</f>
        <v>Twitter for iPhone</v>
      </c>
      <c r="L251" s="13">
        <v>9969</v>
      </c>
      <c r="M251" s="13">
        <v>7586</v>
      </c>
      <c r="N251" s="13">
        <v>55</v>
      </c>
      <c r="O251" s="15"/>
      <c r="P251" s="6">
        <v>40420.561157407406</v>
      </c>
      <c r="Q251" s="16" t="s">
        <v>853</v>
      </c>
      <c r="R251" s="17" t="s">
        <v>854</v>
      </c>
      <c r="S251" s="11" t="s">
        <v>855</v>
      </c>
      <c r="T251" s="12"/>
      <c r="U251" s="10" t="str">
        <f>HYPERLINK("https://pbs.twimg.com/profile_images/1065253492372180993/tpzTHT5y.jpg","View")</f>
        <v>View</v>
      </c>
    </row>
    <row r="252" spans="1:21" ht="20.399999999999999">
      <c r="A252" s="6">
        <v>43426.948587962965</v>
      </c>
      <c r="B252" s="7" t="str">
        <f>HYPERLINK("https://twitter.com/Varanya777","@Varanya777")</f>
        <v>@Varanya777</v>
      </c>
      <c r="C252" s="8" t="s">
        <v>1502</v>
      </c>
      <c r="D252" s="9" t="s">
        <v>1503</v>
      </c>
      <c r="E252" s="10" t="str">
        <f>HYPERLINK("https://twitter.com/Varanya777/status/1065723083904946177","1065723083904946177")</f>
        <v>1065723083904946177</v>
      </c>
      <c r="F252" s="11" t="s">
        <v>1504</v>
      </c>
      <c r="G252" s="12"/>
      <c r="H252" s="12"/>
      <c r="I252" s="13">
        <v>0</v>
      </c>
      <c r="J252" s="13">
        <v>0</v>
      </c>
      <c r="K252" s="14" t="str">
        <f>HYPERLINK("http://twitter.com","Twitter Web Client")</f>
        <v>Twitter Web Client</v>
      </c>
      <c r="L252" s="13">
        <v>165</v>
      </c>
      <c r="M252" s="13">
        <v>95</v>
      </c>
      <c r="N252" s="13">
        <v>3</v>
      </c>
      <c r="O252" s="15"/>
      <c r="P252" s="6">
        <v>42506.909629629634</v>
      </c>
      <c r="Q252" s="12"/>
      <c r="R252" s="19"/>
      <c r="S252" s="12"/>
      <c r="T252" s="12"/>
      <c r="U252" s="10" t="str">
        <f>HYPERLINK("https://pbs.twimg.com/profile_images/736865682151858176/PLSw_pZX.jpg","View")</f>
        <v>View</v>
      </c>
    </row>
    <row r="253" spans="1:21" ht="30.6">
      <c r="A253" s="6">
        <v>43426.947025462963</v>
      </c>
      <c r="B253" s="7" t="str">
        <f>HYPERLINK("https://twitter.com/GuilleQuero","@GuilleQuero")</f>
        <v>@GuilleQuero</v>
      </c>
      <c r="C253" s="8" t="s">
        <v>1508</v>
      </c>
      <c r="D253" s="9" t="s">
        <v>1509</v>
      </c>
      <c r="E253" s="10" t="str">
        <f>HYPERLINK("https://twitter.com/GuilleQuero/status/1065722520995807233","1065722520995807233")</f>
        <v>1065722520995807233</v>
      </c>
      <c r="F253" s="11" t="s">
        <v>1510</v>
      </c>
      <c r="G253" s="12"/>
      <c r="H253" s="12"/>
      <c r="I253" s="13">
        <v>1</v>
      </c>
      <c r="J253" s="13">
        <v>0</v>
      </c>
      <c r="K253" s="14" t="str">
        <f>HYPERLINK("http://www.facebook.com/twitter","Facebook")</f>
        <v>Facebook</v>
      </c>
      <c r="L253" s="13">
        <v>5575</v>
      </c>
      <c r="M253" s="13">
        <v>2392</v>
      </c>
      <c r="N253" s="13">
        <v>117</v>
      </c>
      <c r="O253" s="15"/>
      <c r="P253" s="6">
        <v>40014.804606481484</v>
      </c>
      <c r="Q253" s="16" t="s">
        <v>1512</v>
      </c>
      <c r="R253" s="17" t="s">
        <v>1513</v>
      </c>
      <c r="S253" s="12"/>
      <c r="T253" s="12"/>
      <c r="U253" s="10" t="str">
        <f>HYPERLINK("https://pbs.twimg.com/profile_images/1034487633488093184/0UIamPbI.jpg","View")</f>
        <v>View</v>
      </c>
    </row>
    <row r="254" spans="1:21" ht="40.799999999999997">
      <c r="A254" s="6">
        <v>43426.945752314816</v>
      </c>
      <c r="B254" s="7" t="str">
        <f>HYPERLINK("https://twitter.com/ElCascabelTRECE","@ElCascabelTRECE")</f>
        <v>@ElCascabelTRECE</v>
      </c>
      <c r="C254" s="8" t="s">
        <v>856</v>
      </c>
      <c r="D254" s="9" t="s">
        <v>857</v>
      </c>
      <c r="E254" s="10" t="str">
        <f>HYPERLINK("https://twitter.com/ElCascabelTRECE/status/1065722056648679424","1065722056648679424")</f>
        <v>1065722056648679424</v>
      </c>
      <c r="F254" s="12"/>
      <c r="G254" s="11" t="s">
        <v>858</v>
      </c>
      <c r="H254" s="12"/>
      <c r="I254" s="13">
        <v>3</v>
      </c>
      <c r="J254" s="13">
        <v>6</v>
      </c>
      <c r="K254" s="14" t="str">
        <f>HYPERLINK("http://twitter.com","Twitter Web Client")</f>
        <v>Twitter Web Client</v>
      </c>
      <c r="L254" s="13">
        <v>61533</v>
      </c>
      <c r="M254" s="13">
        <v>244</v>
      </c>
      <c r="N254" s="13">
        <v>461</v>
      </c>
      <c r="O254" s="18" t="s">
        <v>36</v>
      </c>
      <c r="P254" s="6">
        <v>41306.800115740742</v>
      </c>
      <c r="Q254" s="12"/>
      <c r="R254" s="17" t="s">
        <v>859</v>
      </c>
      <c r="S254" s="11" t="s">
        <v>860</v>
      </c>
      <c r="T254" s="12"/>
      <c r="U254" s="10" t="str">
        <f>HYPERLINK("https://pbs.twimg.com/profile_images/1038023153900052480/-k-n1Efd.jpg","View")</f>
        <v>View</v>
      </c>
    </row>
    <row r="255" spans="1:21" ht="51">
      <c r="A255" s="6">
        <v>43426.944490740745</v>
      </c>
      <c r="B255" s="7" t="str">
        <f>HYPERLINK("https://twitter.com/CsRegionMurcia","@CsRegionMurcia")</f>
        <v>@CsRegionMurcia</v>
      </c>
      <c r="C255" s="8" t="s">
        <v>825</v>
      </c>
      <c r="D255" s="9" t="s">
        <v>861</v>
      </c>
      <c r="E255" s="10" t="str">
        <f>HYPERLINK("https://twitter.com/CsRegionMurcia/status/1065721602078384130","1065721602078384130")</f>
        <v>1065721602078384130</v>
      </c>
      <c r="F255" s="12"/>
      <c r="G255" s="11" t="s">
        <v>862</v>
      </c>
      <c r="H255" s="12"/>
      <c r="I255" s="13">
        <v>5</v>
      </c>
      <c r="J255" s="13">
        <v>5</v>
      </c>
      <c r="K255" s="14" t="str">
        <f>HYPERLINK("https://www.hootsuite.com","Hootsuite Inc.")</f>
        <v>Hootsuite Inc.</v>
      </c>
      <c r="L255" s="13">
        <v>6225</v>
      </c>
      <c r="M255" s="13">
        <v>1108</v>
      </c>
      <c r="N255" s="13">
        <v>96</v>
      </c>
      <c r="O255" s="18" t="s">
        <v>36</v>
      </c>
      <c r="P255" s="6">
        <v>40745.431666666671</v>
      </c>
      <c r="Q255" s="16" t="s">
        <v>832</v>
      </c>
      <c r="R255" s="17" t="s">
        <v>833</v>
      </c>
      <c r="S255" s="11" t="s">
        <v>473</v>
      </c>
      <c r="T255" s="12"/>
      <c r="U255" s="10" t="str">
        <f>HYPERLINK("https://pbs.twimg.com/profile_images/1053559144299614208/SFwaZPxU.jpg","View")</f>
        <v>View</v>
      </c>
    </row>
    <row r="256" spans="1:21" ht="30.6">
      <c r="A256" s="6">
        <v>43426.942280092597</v>
      </c>
      <c r="B256" s="7" t="str">
        <f>HYPERLINK("https://twitter.com/6_PM1","@6_PM1")</f>
        <v>@6_PM1</v>
      </c>
      <c r="C256" s="8" t="s">
        <v>1521</v>
      </c>
      <c r="D256" s="9" t="s">
        <v>1522</v>
      </c>
      <c r="E256" s="10" t="str">
        <f>HYPERLINK("https://twitter.com/6_PM1/status/1065720798047027201","1065720798047027201")</f>
        <v>1065720798047027201</v>
      </c>
      <c r="F256" s="16" t="s">
        <v>1523</v>
      </c>
      <c r="G256" s="12"/>
      <c r="H256" s="12"/>
      <c r="I256" s="13">
        <v>0</v>
      </c>
      <c r="J256" s="13">
        <v>0</v>
      </c>
      <c r="K256" s="14" t="str">
        <f t="shared" ref="K256:K258" si="54">HYPERLINK("http://twitter.com/download/android","Twitter for Android")</f>
        <v>Twitter for Android</v>
      </c>
      <c r="L256" s="13">
        <v>1258</v>
      </c>
      <c r="M256" s="13">
        <v>2483</v>
      </c>
      <c r="N256" s="13">
        <v>21</v>
      </c>
      <c r="O256" s="15"/>
      <c r="P256" s="6">
        <v>42032.591203703705</v>
      </c>
      <c r="Q256" s="12"/>
      <c r="R256" s="19"/>
      <c r="S256" s="12"/>
      <c r="T256" s="12"/>
      <c r="U256" s="10" t="str">
        <f>HYPERLINK("https://pbs.twimg.com/profile_images/592013368665473025/jxytnsmT.jpg","View")</f>
        <v>View</v>
      </c>
    </row>
    <row r="257" spans="1:21" ht="20.399999999999999">
      <c r="A257" s="6">
        <v>43426.941863425927</v>
      </c>
      <c r="B257" s="7" t="str">
        <f>HYPERLINK("https://twitter.com/Panik81","@Panik81")</f>
        <v>@Panik81</v>
      </c>
      <c r="C257" s="8" t="s">
        <v>1526</v>
      </c>
      <c r="D257" s="9" t="s">
        <v>1527</v>
      </c>
      <c r="E257" s="10" t="str">
        <f>HYPERLINK("https://twitter.com/Panik81/status/1065720648838844416","1065720648838844416")</f>
        <v>1065720648838844416</v>
      </c>
      <c r="F257" s="12"/>
      <c r="G257" s="11" t="s">
        <v>1528</v>
      </c>
      <c r="H257" s="12"/>
      <c r="I257" s="13">
        <v>207</v>
      </c>
      <c r="J257" s="13">
        <v>400</v>
      </c>
      <c r="K257" s="14" t="str">
        <f t="shared" si="54"/>
        <v>Twitter for Android</v>
      </c>
      <c r="L257" s="13">
        <v>12459</v>
      </c>
      <c r="M257" s="13">
        <v>1544</v>
      </c>
      <c r="N257" s="13">
        <v>109</v>
      </c>
      <c r="O257" s="15"/>
      <c r="P257" s="6">
        <v>40910.592569444445</v>
      </c>
      <c r="Q257" s="12"/>
      <c r="R257" s="17" t="s">
        <v>1529</v>
      </c>
      <c r="S257" s="12"/>
      <c r="T257" s="12"/>
      <c r="U257" s="10" t="str">
        <f>HYPERLINK("https://pbs.twimg.com/profile_images/765530824049655808/6PS-97m7.jpg","View")</f>
        <v>View</v>
      </c>
    </row>
    <row r="258" spans="1:21" ht="30.6">
      <c r="A258" s="6">
        <v>43426.941805555558</v>
      </c>
      <c r="B258" s="7" t="str">
        <f>HYPERLINK("https://twitter.com/CsRoquetasdeMar","@CsRoquetasdeMar")</f>
        <v>@CsRoquetasdeMar</v>
      </c>
      <c r="C258" s="8" t="s">
        <v>863</v>
      </c>
      <c r="D258" s="9" t="s">
        <v>864</v>
      </c>
      <c r="E258" s="10" t="str">
        <f>HYPERLINK("https://twitter.com/CsRoquetasdeMar/status/1065720629415030785","1065720629415030785")</f>
        <v>1065720629415030785</v>
      </c>
      <c r="F258" s="11" t="s">
        <v>470</v>
      </c>
      <c r="G258" s="11" t="s">
        <v>865</v>
      </c>
      <c r="H258" s="12"/>
      <c r="I258" s="13">
        <v>3</v>
      </c>
      <c r="J258" s="13">
        <v>5</v>
      </c>
      <c r="K258" s="14" t="str">
        <f t="shared" si="54"/>
        <v>Twitter for Android</v>
      </c>
      <c r="L258" s="13">
        <v>1963</v>
      </c>
      <c r="M258" s="13">
        <v>866</v>
      </c>
      <c r="N258" s="13">
        <v>32</v>
      </c>
      <c r="O258" s="15"/>
      <c r="P258" s="6">
        <v>41873.018761574072</v>
      </c>
      <c r="Q258" s="16" t="s">
        <v>866</v>
      </c>
      <c r="R258" s="17" t="s">
        <v>867</v>
      </c>
      <c r="S258" s="11" t="s">
        <v>868</v>
      </c>
      <c r="T258" s="12"/>
      <c r="U258" s="10" t="str">
        <f>HYPERLINK("https://pbs.twimg.com/profile_images/899375488979927042/0OQvn6JM.jpg","View")</f>
        <v>View</v>
      </c>
    </row>
    <row r="259" spans="1:21" ht="30.6">
      <c r="A259" s="6">
        <v>43426.940717592588</v>
      </c>
      <c r="B259" s="7" t="str">
        <f>HYPERLINK("https://twitter.com/silviarosillo75","@silviarosillo75")</f>
        <v>@silviarosillo75</v>
      </c>
      <c r="C259" s="8" t="s">
        <v>1534</v>
      </c>
      <c r="D259" s="9" t="s">
        <v>1535</v>
      </c>
      <c r="E259" s="10" t="str">
        <f>HYPERLINK("https://twitter.com/silviarosillo75/status/1065720234068332544","1065720234068332544")</f>
        <v>1065720234068332544</v>
      </c>
      <c r="F259" s="11" t="s">
        <v>1536</v>
      </c>
      <c r="G259" s="12"/>
      <c r="H259" s="12"/>
      <c r="I259" s="13">
        <v>0</v>
      </c>
      <c r="J259" s="13">
        <v>0</v>
      </c>
      <c r="K259" s="14" t="str">
        <f>HYPERLINK("http://instagram.com","Instagram")</f>
        <v>Instagram</v>
      </c>
      <c r="L259" s="13">
        <v>280</v>
      </c>
      <c r="M259" s="13">
        <v>1142</v>
      </c>
      <c r="N259" s="13">
        <v>9</v>
      </c>
      <c r="O259" s="15"/>
      <c r="P259" s="6">
        <v>40939.846388888887</v>
      </c>
      <c r="Q259" s="16" t="s">
        <v>75</v>
      </c>
      <c r="R259" s="17" t="s">
        <v>1538</v>
      </c>
      <c r="S259" s="11" t="s">
        <v>1539</v>
      </c>
      <c r="T259" s="12"/>
      <c r="U259" s="10" t="str">
        <f>HYPERLINK("https://pbs.twimg.com/profile_images/1049358887042867200/i8g4zM5e.jpg","View")</f>
        <v>View</v>
      </c>
    </row>
    <row r="260" spans="1:21" ht="51">
      <c r="A260" s="6">
        <v>43426.9378587963</v>
      </c>
      <c r="B260" s="7" t="str">
        <f>HYPERLINK("https://twitter.com/davidlerose","@davidlerose")</f>
        <v>@davidlerose</v>
      </c>
      <c r="C260" s="8" t="s">
        <v>457</v>
      </c>
      <c r="D260" s="9" t="s">
        <v>869</v>
      </c>
      <c r="E260" s="10" t="str">
        <f>HYPERLINK("https://twitter.com/davidlerose/status/1065719196280078336","1065719196280078336")</f>
        <v>1065719196280078336</v>
      </c>
      <c r="F260" s="12"/>
      <c r="G260" s="11" t="s">
        <v>870</v>
      </c>
      <c r="H260" s="12"/>
      <c r="I260" s="13">
        <v>0</v>
      </c>
      <c r="J260" s="13">
        <v>0</v>
      </c>
      <c r="K260" s="14" t="str">
        <f>HYPERLINK("http://twitter.com/download/android","Twitter for Android")</f>
        <v>Twitter for Android</v>
      </c>
      <c r="L260" s="13">
        <v>73</v>
      </c>
      <c r="M260" s="13">
        <v>488</v>
      </c>
      <c r="N260" s="13">
        <v>0</v>
      </c>
      <c r="O260" s="15"/>
      <c r="P260" s="6">
        <v>41007.739571759259</v>
      </c>
      <c r="Q260" s="12"/>
      <c r="R260" s="17" t="s">
        <v>460</v>
      </c>
      <c r="S260" s="12"/>
      <c r="T260" s="12"/>
      <c r="U260" s="10" t="str">
        <f>HYPERLINK("https://pbs.twimg.com/profile_images/914827866810064896/RVh3Jbpk.jpg","View")</f>
        <v>View</v>
      </c>
    </row>
    <row r="261" spans="1:21" ht="51">
      <c r="A261" s="6">
        <v>43426.937222222223</v>
      </c>
      <c r="B261" s="7" t="str">
        <f>HYPERLINK("https://twitter.com/altariu","@altariu")</f>
        <v>@altariu</v>
      </c>
      <c r="C261" s="8" t="s">
        <v>1546</v>
      </c>
      <c r="D261" s="9" t="s">
        <v>1547</v>
      </c>
      <c r="E261" s="10" t="str">
        <f>HYPERLINK("https://twitter.com/altariu/status/1065718965488549889","1065718965488549889")</f>
        <v>1065718965488549889</v>
      </c>
      <c r="F261" s="16" t="s">
        <v>64</v>
      </c>
      <c r="G261" s="11" t="s">
        <v>65</v>
      </c>
      <c r="H261" s="12"/>
      <c r="I261" s="13">
        <v>0</v>
      </c>
      <c r="J261" s="13">
        <v>0</v>
      </c>
      <c r="K261" s="14" t="str">
        <f>HYPERLINK("http://twitter.com","Twitter Web Client")</f>
        <v>Twitter Web Client</v>
      </c>
      <c r="L261" s="13">
        <v>188</v>
      </c>
      <c r="M261" s="13">
        <v>494</v>
      </c>
      <c r="N261" s="13">
        <v>0</v>
      </c>
      <c r="O261" s="15"/>
      <c r="P261" s="6">
        <v>40638.082789351851</v>
      </c>
      <c r="Q261" s="16" t="s">
        <v>1550</v>
      </c>
      <c r="R261" s="17" t="s">
        <v>1551</v>
      </c>
      <c r="S261" s="12"/>
      <c r="T261" s="12"/>
      <c r="U261" s="10" t="str">
        <f>HYPERLINK("https://pbs.twimg.com/profile_images/995690423988432897/-f2YUrnf.jpg","View")</f>
        <v>View</v>
      </c>
    </row>
    <row r="262" spans="1:21" ht="20.399999999999999">
      <c r="A262" s="6">
        <v>43426.931701388894</v>
      </c>
      <c r="B262" s="7" t="str">
        <f>HYPERLINK("https://twitter.com/karndado","@karndado")</f>
        <v>@karndado</v>
      </c>
      <c r="C262" s="8" t="s">
        <v>1555</v>
      </c>
      <c r="D262" s="9" t="s">
        <v>1556</v>
      </c>
      <c r="E262" s="10" t="str">
        <f>HYPERLINK("https://twitter.com/karndado/status/1065716965765988353","1065716965765988353")</f>
        <v>1065716965765988353</v>
      </c>
      <c r="F262" s="11" t="s">
        <v>1558</v>
      </c>
      <c r="G262" s="11" t="s">
        <v>1559</v>
      </c>
      <c r="H262" s="12"/>
      <c r="I262" s="13">
        <v>0</v>
      </c>
      <c r="J262" s="13">
        <v>1</v>
      </c>
      <c r="K262" s="14" t="str">
        <f>HYPERLINK("http://twitter.com/download/android","Twitter for Android")</f>
        <v>Twitter for Android</v>
      </c>
      <c r="L262" s="13">
        <v>89</v>
      </c>
      <c r="M262" s="13">
        <v>206</v>
      </c>
      <c r="N262" s="13">
        <v>0</v>
      </c>
      <c r="O262" s="15"/>
      <c r="P262" s="6">
        <v>43213.061793981484</v>
      </c>
      <c r="Q262" s="16" t="s">
        <v>1560</v>
      </c>
      <c r="R262" s="17" t="s">
        <v>1561</v>
      </c>
      <c r="S262" s="11" t="s">
        <v>1562</v>
      </c>
      <c r="T262" s="12"/>
      <c r="U262" s="10" t="str">
        <f>HYPERLINK("https://pbs.twimg.com/profile_images/1063877874074247169/oWCLQWeb.jpg","View")</f>
        <v>View</v>
      </c>
    </row>
    <row r="263" spans="1:21" ht="51">
      <c r="A263" s="6">
        <v>43426.930219907408</v>
      </c>
      <c r="B263" s="7" t="str">
        <f>HYPERLINK("https://twitter.com/gdgc1977","@gdgc1977")</f>
        <v>@gdgc1977</v>
      </c>
      <c r="C263" s="8" t="s">
        <v>1566</v>
      </c>
      <c r="D263" s="9" t="s">
        <v>1567</v>
      </c>
      <c r="E263" s="10" t="str">
        <f>HYPERLINK("https://twitter.com/gdgc1977/status/1065716428630822912","1065716428630822912")</f>
        <v>1065716428630822912</v>
      </c>
      <c r="F263" s="12"/>
      <c r="G263" s="12"/>
      <c r="H263" s="12"/>
      <c r="I263" s="13">
        <v>27</v>
      </c>
      <c r="J263" s="13">
        <v>33</v>
      </c>
      <c r="K263" s="14" t="str">
        <f>HYPERLINK("http://twitter.com/download/iphone","Twitter for iPhone")</f>
        <v>Twitter for iPhone</v>
      </c>
      <c r="L263" s="13">
        <v>4365</v>
      </c>
      <c r="M263" s="13">
        <v>3372</v>
      </c>
      <c r="N263" s="13">
        <v>24</v>
      </c>
      <c r="O263" s="15"/>
      <c r="P263" s="6">
        <v>41674.367858796293</v>
      </c>
      <c r="Q263" s="16" t="s">
        <v>37</v>
      </c>
      <c r="R263" s="17" t="s">
        <v>1572</v>
      </c>
      <c r="S263" s="12"/>
      <c r="T263" s="12"/>
      <c r="U263" s="10" t="str">
        <f>HYPERLINK("https://pbs.twimg.com/profile_images/1064479943386644480/YtQzPByN.jpg","View")</f>
        <v>View</v>
      </c>
    </row>
    <row r="264" spans="1:21" ht="40.799999999999997">
      <c r="A264" s="6">
        <v>43426.929837962962</v>
      </c>
      <c r="B264" s="7" t="str">
        <f>HYPERLINK("https://twitter.com/PdeSamos","@PdeSamos")</f>
        <v>@PdeSamos</v>
      </c>
      <c r="C264" s="8" t="s">
        <v>1574</v>
      </c>
      <c r="D264" s="9" t="s">
        <v>1575</v>
      </c>
      <c r="E264" s="10" t="str">
        <f>HYPERLINK("https://twitter.com/PdeSamos/status/1065716289816223744","1065716289816223744")</f>
        <v>1065716289816223744</v>
      </c>
      <c r="F264" s="11" t="s">
        <v>1578</v>
      </c>
      <c r="G264" s="12"/>
      <c r="H264" s="12"/>
      <c r="I264" s="13">
        <v>0</v>
      </c>
      <c r="J264" s="13">
        <v>0</v>
      </c>
      <c r="K264" s="14" t="str">
        <f>HYPERLINK("http://republico.ddns.net","App Libertad PdeSamos")</f>
        <v>App Libertad PdeSamos</v>
      </c>
      <c r="L264" s="13">
        <v>5284</v>
      </c>
      <c r="M264" s="13">
        <v>5302</v>
      </c>
      <c r="N264" s="13">
        <v>12</v>
      </c>
      <c r="O264" s="15"/>
      <c r="P264" s="6">
        <v>42889.820567129631</v>
      </c>
      <c r="Q264" s="16" t="s">
        <v>1579</v>
      </c>
      <c r="R264" s="17" t="s">
        <v>1580</v>
      </c>
      <c r="S264" s="12"/>
      <c r="T264" s="12"/>
      <c r="U264" s="10" t="str">
        <f>HYPERLINK("https://pbs.twimg.com/profile_images/871063742003511296/xK2IYbrO.jpg","View")</f>
        <v>View</v>
      </c>
    </row>
    <row r="265" spans="1:21" ht="51">
      <c r="A265" s="6">
        <v>43426.928715277776</v>
      </c>
      <c r="B265" s="7" t="str">
        <f>HYPERLINK("https://twitter.com/bitMomentum","@bitMomentum")</f>
        <v>@bitMomentum</v>
      </c>
      <c r="C265" s="8" t="s">
        <v>706</v>
      </c>
      <c r="D265" s="9" t="s">
        <v>871</v>
      </c>
      <c r="E265" s="10" t="str">
        <f>HYPERLINK("https://twitter.com/bitMomentum/status/1065715883539144704","1065715883539144704")</f>
        <v>1065715883539144704</v>
      </c>
      <c r="F265" s="12"/>
      <c r="G265" s="11" t="s">
        <v>872</v>
      </c>
      <c r="H265" s="12"/>
      <c r="I265" s="13">
        <v>0</v>
      </c>
      <c r="J265" s="13">
        <v>0</v>
      </c>
      <c r="K265" s="14" t="str">
        <f>HYPERLINK("http://www.bitmomentum.com","bitMomentum Bot")</f>
        <v>bitMomentum Bot</v>
      </c>
      <c r="L265" s="13">
        <v>10132</v>
      </c>
      <c r="M265" s="13">
        <v>1060</v>
      </c>
      <c r="N265" s="13">
        <v>262</v>
      </c>
      <c r="O265" s="15"/>
      <c r="P265" s="6">
        <v>41608.667511574073</v>
      </c>
      <c r="Q265" s="12"/>
      <c r="R265" s="17" t="s">
        <v>708</v>
      </c>
      <c r="S265" s="11" t="s">
        <v>709</v>
      </c>
      <c r="T265" s="12"/>
      <c r="U265" s="10" t="str">
        <f>HYPERLINK("https://pbs.twimg.com/profile_images/378800000862185241/20ij2H3u.png","View")</f>
        <v>View</v>
      </c>
    </row>
    <row r="266" spans="1:21" ht="20.399999999999999">
      <c r="A266" s="6">
        <v>43426.928541666668</v>
      </c>
      <c r="B266" s="7" t="str">
        <f>HYPERLINK("https://twitter.com/LaurenArenos","@LaurenArenos")</f>
        <v>@LaurenArenos</v>
      </c>
      <c r="C266" s="8" t="s">
        <v>1586</v>
      </c>
      <c r="D266" s="9" t="s">
        <v>1587</v>
      </c>
      <c r="E266" s="10" t="str">
        <f>HYPERLINK("https://twitter.com/LaurenArenos/status/1065715819571806209","1065715819571806209")</f>
        <v>1065715819571806209</v>
      </c>
      <c r="F266" s="11" t="s">
        <v>635</v>
      </c>
      <c r="G266" s="12"/>
      <c r="H266" s="12"/>
      <c r="I266" s="13">
        <v>0</v>
      </c>
      <c r="J266" s="13">
        <v>1</v>
      </c>
      <c r="K266" s="14" t="str">
        <f>HYPERLINK("http://twitter.com/download/android","Twitter for Android")</f>
        <v>Twitter for Android</v>
      </c>
      <c r="L266" s="13">
        <v>844</v>
      </c>
      <c r="M266" s="13">
        <v>1206</v>
      </c>
      <c r="N266" s="13">
        <v>0</v>
      </c>
      <c r="O266" s="15"/>
      <c r="P266" s="6">
        <v>43268.977326388893</v>
      </c>
      <c r="Q266" s="12"/>
      <c r="R266" s="17" t="s">
        <v>1590</v>
      </c>
      <c r="S266" s="12"/>
      <c r="T266" s="12"/>
      <c r="U266" s="10" t="str">
        <f>HYPERLINK("https://pbs.twimg.com/profile_images/1008462268663828480/RBvgbkmL.jpg","View")</f>
        <v>View</v>
      </c>
    </row>
    <row r="267" spans="1:21" ht="51">
      <c r="A267" s="6">
        <v>43426.928020833337</v>
      </c>
      <c r="B267" s="7" t="str">
        <f>HYPERLINK("https://twitter.com/bitMomentum","@bitMomentum")</f>
        <v>@bitMomentum</v>
      </c>
      <c r="C267" s="8" t="s">
        <v>706</v>
      </c>
      <c r="D267" s="9" t="s">
        <v>873</v>
      </c>
      <c r="E267" s="10" t="str">
        <f>HYPERLINK("https://twitter.com/bitMomentum/status/1065715631721496577","1065715631721496577")</f>
        <v>1065715631721496577</v>
      </c>
      <c r="F267" s="12"/>
      <c r="G267" s="11" t="s">
        <v>874</v>
      </c>
      <c r="H267" s="12"/>
      <c r="I267" s="13">
        <v>0</v>
      </c>
      <c r="J267" s="13">
        <v>0</v>
      </c>
      <c r="K267" s="14" t="str">
        <f>HYPERLINK("http://www.bitmomentum.com","bitMomentum Bot")</f>
        <v>bitMomentum Bot</v>
      </c>
      <c r="L267" s="13">
        <v>10132</v>
      </c>
      <c r="M267" s="13">
        <v>1060</v>
      </c>
      <c r="N267" s="13">
        <v>262</v>
      </c>
      <c r="O267" s="15"/>
      <c r="P267" s="6">
        <v>41608.667511574073</v>
      </c>
      <c r="Q267" s="12"/>
      <c r="R267" s="17" t="s">
        <v>708</v>
      </c>
      <c r="S267" s="11" t="s">
        <v>709</v>
      </c>
      <c r="T267" s="12"/>
      <c r="U267" s="10" t="str">
        <f>HYPERLINK("https://pbs.twimg.com/profile_images/378800000862185241/20ij2H3u.png","View")</f>
        <v>View</v>
      </c>
    </row>
    <row r="268" spans="1:21" ht="51">
      <c r="A268" s="6">
        <v>43426.926053240742</v>
      </c>
      <c r="B268" s="7" t="str">
        <f>HYPERLINK("https://twitter.com/FrancisRubioGme","@FrancisRubioGme")</f>
        <v>@FrancisRubioGme</v>
      </c>
      <c r="C268" s="8" t="s">
        <v>875</v>
      </c>
      <c r="D268" s="9" t="s">
        <v>876</v>
      </c>
      <c r="E268" s="10" t="str">
        <f>HYPERLINK("https://twitter.com/FrancisRubioGme/status/1065714920669487110","1065714920669487110")</f>
        <v>1065714920669487110</v>
      </c>
      <c r="F268" s="12"/>
      <c r="G268" s="11" t="s">
        <v>877</v>
      </c>
      <c r="H268" s="12"/>
      <c r="I268" s="13">
        <v>40</v>
      </c>
      <c r="J268" s="13">
        <v>32</v>
      </c>
      <c r="K268" s="14" t="str">
        <f>HYPERLINK("http://twitter.com/download/iphone","Twitter for iPhone")</f>
        <v>Twitter for iPhone</v>
      </c>
      <c r="L268" s="13">
        <v>23860</v>
      </c>
      <c r="M268" s="13">
        <v>19761</v>
      </c>
      <c r="N268" s="13">
        <v>175</v>
      </c>
      <c r="O268" s="15"/>
      <c r="P268" s="6">
        <v>41088.977650462963</v>
      </c>
      <c r="Q268" s="12"/>
      <c r="R268" s="17" t="s">
        <v>878</v>
      </c>
      <c r="S268" s="12"/>
      <c r="T268" s="12"/>
      <c r="U268" s="10" t="str">
        <f>HYPERLINK("https://pbs.twimg.com/profile_images/681576695044947970/pMNkJlo3.jpg","View")</f>
        <v>View</v>
      </c>
    </row>
    <row r="269" spans="1:21" ht="91.8">
      <c r="A269" s="6">
        <v>43426.925451388888</v>
      </c>
      <c r="B269" s="7" t="str">
        <f>HYPERLINK("https://twitter.com/LuisBatteman","@LuisBatteman")</f>
        <v>@LuisBatteman</v>
      </c>
      <c r="C269" s="8" t="s">
        <v>769</v>
      </c>
      <c r="D269" s="9" t="s">
        <v>879</v>
      </c>
      <c r="E269" s="10" t="str">
        <f>HYPERLINK("https://twitter.com/LuisBatteman/status/1065714701554864129","1065714701554864129")</f>
        <v>1065714701554864129</v>
      </c>
      <c r="F269" s="11" t="s">
        <v>880</v>
      </c>
      <c r="G269" s="11" t="s">
        <v>881</v>
      </c>
      <c r="H269" s="12"/>
      <c r="I269" s="13">
        <v>4</v>
      </c>
      <c r="J269" s="13">
        <v>2</v>
      </c>
      <c r="K269" s="14" t="str">
        <f t="shared" ref="K269:K270" si="55">HYPERLINK("http://twitter.com/download/android","Twitter for Android")</f>
        <v>Twitter for Android</v>
      </c>
      <c r="L269" s="13">
        <v>1731</v>
      </c>
      <c r="M269" s="13">
        <v>2195</v>
      </c>
      <c r="N269" s="13">
        <v>31</v>
      </c>
      <c r="O269" s="15"/>
      <c r="P269" s="6">
        <v>40122.007476851853</v>
      </c>
      <c r="Q269" s="16" t="s">
        <v>774</v>
      </c>
      <c r="R269" s="17" t="s">
        <v>775</v>
      </c>
      <c r="S269" s="12"/>
      <c r="T269" s="12"/>
      <c r="U269" s="10" t="str">
        <f>HYPERLINK("https://pbs.twimg.com/profile_images/730904453025546242/36bcf-X7.jpg","View")</f>
        <v>View</v>
      </c>
    </row>
    <row r="270" spans="1:21" ht="40.799999999999997">
      <c r="A270" s="6">
        <v>43426.923032407409</v>
      </c>
      <c r="B270" s="7" t="str">
        <f>HYPERLINK("https://twitter.com/CiutadaPistoni","@CiutadaPistoni")</f>
        <v>@CiutadaPistoni</v>
      </c>
      <c r="C270" s="8" t="s">
        <v>1603</v>
      </c>
      <c r="D270" s="9" t="s">
        <v>632</v>
      </c>
      <c r="E270" s="10" t="str">
        <f>HYPERLINK("https://twitter.com/CiutadaPistoni/status/1065713825616470019","1065713825616470019")</f>
        <v>1065713825616470019</v>
      </c>
      <c r="F270" s="11" t="s">
        <v>635</v>
      </c>
      <c r="G270" s="12"/>
      <c r="H270" s="12"/>
      <c r="I270" s="13">
        <v>5</v>
      </c>
      <c r="J270" s="13">
        <v>4</v>
      </c>
      <c r="K270" s="14" t="str">
        <f t="shared" si="55"/>
        <v>Twitter for Android</v>
      </c>
      <c r="L270" s="13">
        <v>343</v>
      </c>
      <c r="M270" s="13">
        <v>800</v>
      </c>
      <c r="N270" s="13">
        <v>1</v>
      </c>
      <c r="O270" s="15"/>
      <c r="P270" s="6">
        <v>42993.515439814815</v>
      </c>
      <c r="Q270" s="16" t="s">
        <v>1606</v>
      </c>
      <c r="R270" s="17" t="s">
        <v>1607</v>
      </c>
      <c r="S270" s="12"/>
      <c r="T270" s="12"/>
      <c r="U270" s="10" t="str">
        <f>HYPERLINK("https://pbs.twimg.com/profile_images/908641029544402944/nynXc-K9.jpg","View")</f>
        <v>View</v>
      </c>
    </row>
    <row r="271" spans="1:21" ht="30.6">
      <c r="A271" s="6">
        <v>43426.920590277776</v>
      </c>
      <c r="B271" s="7" t="str">
        <f>HYPERLINK("https://twitter.com/Teixedal2","@Teixedal2")</f>
        <v>@Teixedal2</v>
      </c>
      <c r="C271" s="8" t="s">
        <v>1610</v>
      </c>
      <c r="D271" s="9" t="s">
        <v>1041</v>
      </c>
      <c r="E271" s="10" t="str">
        <f>HYPERLINK("https://twitter.com/Teixedal2/status/1065712937837432833","1065712937837432833")</f>
        <v>1065712937837432833</v>
      </c>
      <c r="F271" s="11" t="s">
        <v>223</v>
      </c>
      <c r="G271" s="12"/>
      <c r="H271" s="12"/>
      <c r="I271" s="13">
        <v>0</v>
      </c>
      <c r="J271" s="13">
        <v>0</v>
      </c>
      <c r="K271" s="14" t="str">
        <f>HYPERLINK("http://twitter.com/#!/download/ipad","Twitter for iPad")</f>
        <v>Twitter for iPad</v>
      </c>
      <c r="L271" s="13">
        <v>424</v>
      </c>
      <c r="M271" s="13">
        <v>1029</v>
      </c>
      <c r="N271" s="13">
        <v>0</v>
      </c>
      <c r="O271" s="15"/>
      <c r="P271" s="6">
        <v>43089.731087962966</v>
      </c>
      <c r="Q271" s="16" t="s">
        <v>1612</v>
      </c>
      <c r="R271" s="17" t="s">
        <v>1613</v>
      </c>
      <c r="S271" s="12"/>
      <c r="T271" s="12"/>
      <c r="U271" s="18" t="s">
        <v>559</v>
      </c>
    </row>
    <row r="272" spans="1:21" ht="61.2">
      <c r="A272" s="6">
        <v>43426.918483796297</v>
      </c>
      <c r="B272" s="7" t="str">
        <f>HYPERLINK("https://twitter.com/Akrainsurrecto","@Akrainsurrecto")</f>
        <v>@Akrainsurrecto</v>
      </c>
      <c r="C272" s="8" t="s">
        <v>882</v>
      </c>
      <c r="D272" s="9" t="s">
        <v>883</v>
      </c>
      <c r="E272" s="10" t="str">
        <f>HYPERLINK("https://twitter.com/Akrainsurrecto/status/1065712174461579264","1065712174461579264")</f>
        <v>1065712174461579264</v>
      </c>
      <c r="F272" s="12"/>
      <c r="G272" s="12"/>
      <c r="H272" s="12"/>
      <c r="I272" s="13">
        <v>0</v>
      </c>
      <c r="J272" s="13">
        <v>0</v>
      </c>
      <c r="K272" s="14" t="str">
        <f>HYPERLINK("http://twitter.com","Twitter Web Client")</f>
        <v>Twitter Web Client</v>
      </c>
      <c r="L272" s="13">
        <v>2647</v>
      </c>
      <c r="M272" s="13">
        <v>2268</v>
      </c>
      <c r="N272" s="13">
        <v>12</v>
      </c>
      <c r="O272" s="15"/>
      <c r="P272" s="6">
        <v>41584.492210648146</v>
      </c>
      <c r="Q272" s="12"/>
      <c r="R272" s="17" t="s">
        <v>884</v>
      </c>
      <c r="S272" s="12"/>
      <c r="T272" s="12"/>
      <c r="U272" s="10" t="str">
        <f>HYPERLINK("https://pbs.twimg.com/profile_images/378800000702242175/9308473ee8d6e49754ad631151c2ec8b.jpeg","View")</f>
        <v>View</v>
      </c>
    </row>
    <row r="273" spans="1:21" ht="51">
      <c r="A273" s="6">
        <v>43426.91805555555</v>
      </c>
      <c r="B273" s="7" t="str">
        <f t="shared" ref="B273:B274" si="56">HYPERLINK("https://twitter.com/bitMomentum","@bitMomentum")</f>
        <v>@bitMomentum</v>
      </c>
      <c r="C273" s="8" t="s">
        <v>706</v>
      </c>
      <c r="D273" s="9" t="s">
        <v>885</v>
      </c>
      <c r="E273" s="10" t="str">
        <f>HYPERLINK("https://twitter.com/bitMomentum/status/1065712019838562304","1065712019838562304")</f>
        <v>1065712019838562304</v>
      </c>
      <c r="F273" s="12"/>
      <c r="G273" s="12"/>
      <c r="H273" s="12"/>
      <c r="I273" s="13">
        <v>0</v>
      </c>
      <c r="J273" s="13">
        <v>0</v>
      </c>
      <c r="K273" s="14" t="str">
        <f t="shared" ref="K273:K274" si="57">HYPERLINK("http://www.bitmomentum.com","bitMomentum Bot")</f>
        <v>bitMomentum Bot</v>
      </c>
      <c r="L273" s="13">
        <v>10132</v>
      </c>
      <c r="M273" s="13">
        <v>1060</v>
      </c>
      <c r="N273" s="13">
        <v>262</v>
      </c>
      <c r="O273" s="15"/>
      <c r="P273" s="6">
        <v>41608.667511574073</v>
      </c>
      <c r="Q273" s="12"/>
      <c r="R273" s="17" t="s">
        <v>708</v>
      </c>
      <c r="S273" s="11" t="s">
        <v>709</v>
      </c>
      <c r="T273" s="12"/>
      <c r="U273" s="10" t="str">
        <f t="shared" ref="U273:U274" si="58">HYPERLINK("https://pbs.twimg.com/profile_images/378800000862185241/20ij2H3u.png","View")</f>
        <v>View</v>
      </c>
    </row>
    <row r="274" spans="1:21" ht="51">
      <c r="A274" s="6">
        <v>43426.917361111111</v>
      </c>
      <c r="B274" s="7" t="str">
        <f t="shared" si="56"/>
        <v>@bitMomentum</v>
      </c>
      <c r="C274" s="8" t="s">
        <v>706</v>
      </c>
      <c r="D274" s="9" t="s">
        <v>886</v>
      </c>
      <c r="E274" s="10" t="str">
        <f>HYPERLINK("https://twitter.com/bitMomentum/status/1065711768037715968","1065711768037715968")</f>
        <v>1065711768037715968</v>
      </c>
      <c r="F274" s="12"/>
      <c r="G274" s="12"/>
      <c r="H274" s="12"/>
      <c r="I274" s="13">
        <v>0</v>
      </c>
      <c r="J274" s="13">
        <v>0</v>
      </c>
      <c r="K274" s="14" t="str">
        <f t="shared" si="57"/>
        <v>bitMomentum Bot</v>
      </c>
      <c r="L274" s="13">
        <v>10132</v>
      </c>
      <c r="M274" s="13">
        <v>1060</v>
      </c>
      <c r="N274" s="13">
        <v>262</v>
      </c>
      <c r="O274" s="15"/>
      <c r="P274" s="6">
        <v>41608.667511574073</v>
      </c>
      <c r="Q274" s="12"/>
      <c r="R274" s="17" t="s">
        <v>708</v>
      </c>
      <c r="S274" s="11" t="s">
        <v>709</v>
      </c>
      <c r="T274" s="12"/>
      <c r="U274" s="10" t="str">
        <f t="shared" si="58"/>
        <v>View</v>
      </c>
    </row>
    <row r="275" spans="1:21" ht="51">
      <c r="A275" s="6">
        <v>43426.913854166662</v>
      </c>
      <c r="B275" s="7" t="str">
        <f>HYPERLINK("https://twitter.com/jesus_pga","@jesus_pga")</f>
        <v>@jesus_pga</v>
      </c>
      <c r="C275" s="8" t="s">
        <v>887</v>
      </c>
      <c r="D275" s="9" t="s">
        <v>888</v>
      </c>
      <c r="E275" s="10" t="str">
        <f>HYPERLINK("https://twitter.com/jesus_pga/status/1065710499613028352","1065710499613028352")</f>
        <v>1065710499613028352</v>
      </c>
      <c r="F275" s="12"/>
      <c r="G275" s="12"/>
      <c r="H275" s="12"/>
      <c r="I275" s="13">
        <v>1</v>
      </c>
      <c r="J275" s="13">
        <v>1</v>
      </c>
      <c r="K275" s="14" t="str">
        <f t="shared" ref="K275:K276" si="59">HYPERLINK("http://twitter.com/download/android","Twitter for Android")</f>
        <v>Twitter for Android</v>
      </c>
      <c r="L275" s="13">
        <v>210</v>
      </c>
      <c r="M275" s="13">
        <v>178</v>
      </c>
      <c r="N275" s="13">
        <v>8</v>
      </c>
      <c r="O275" s="15"/>
      <c r="P275" s="6">
        <v>41858.374571759261</v>
      </c>
      <c r="Q275" s="16" t="s">
        <v>889</v>
      </c>
      <c r="R275" s="17" t="s">
        <v>890</v>
      </c>
      <c r="S275" s="12"/>
      <c r="T275" s="12"/>
      <c r="U275" s="10" t="str">
        <f>HYPERLINK("https://pbs.twimg.com/profile_images/753002159583690753/E47aRUdS.jpg","View")</f>
        <v>View</v>
      </c>
    </row>
    <row r="276" spans="1:21" ht="20.399999999999999">
      <c r="A276" s="6">
        <v>43426.911423611113</v>
      </c>
      <c r="B276" s="7" t="str">
        <f>HYPERLINK("https://twitter.com/JAVIER27264974","@JAVIER27264974")</f>
        <v>@JAVIER27264974</v>
      </c>
      <c r="C276" s="8" t="s">
        <v>1622</v>
      </c>
      <c r="D276" s="9" t="s">
        <v>632</v>
      </c>
      <c r="E276" s="10" t="str">
        <f>HYPERLINK("https://twitter.com/JAVIER27264974/status/1065709617987108864","1065709617987108864")</f>
        <v>1065709617987108864</v>
      </c>
      <c r="F276" s="11" t="s">
        <v>635</v>
      </c>
      <c r="G276" s="12"/>
      <c r="H276" s="12"/>
      <c r="I276" s="13">
        <v>0</v>
      </c>
      <c r="J276" s="13">
        <v>0</v>
      </c>
      <c r="K276" s="14" t="str">
        <f t="shared" si="59"/>
        <v>Twitter for Android</v>
      </c>
      <c r="L276" s="13">
        <v>581</v>
      </c>
      <c r="M276" s="13">
        <v>871</v>
      </c>
      <c r="N276" s="13">
        <v>3</v>
      </c>
      <c r="O276" s="15"/>
      <c r="P276" s="6">
        <v>41251.571076388893</v>
      </c>
      <c r="Q276" s="12"/>
      <c r="R276" s="17" t="s">
        <v>1623</v>
      </c>
      <c r="S276" s="12"/>
      <c r="T276" s="12"/>
      <c r="U276" s="10" t="str">
        <f>HYPERLINK("https://pbs.twimg.com/profile_images/378800000617911059/ec1a1723899ac637d7df5f4f23daa692.jpeg","View")</f>
        <v>View</v>
      </c>
    </row>
    <row r="277" spans="1:21" ht="40.799999999999997">
      <c r="A277" s="6">
        <v>43426.90934027778</v>
      </c>
      <c r="B277" s="7" t="str">
        <f>HYPERLINK("https://twitter.com/millanfernandez","@millanfernandez")</f>
        <v>@millanfernandez</v>
      </c>
      <c r="C277" s="8" t="s">
        <v>1627</v>
      </c>
      <c r="D277" s="9" t="s">
        <v>1628</v>
      </c>
      <c r="E277" s="10" t="str">
        <f>HYPERLINK("https://twitter.com/millanfernandez/status/1065708863842934784","1065708863842934784")</f>
        <v>1065708863842934784</v>
      </c>
      <c r="F277" s="12"/>
      <c r="G277" s="12"/>
      <c r="H277" s="12"/>
      <c r="I277" s="13">
        <v>0</v>
      </c>
      <c r="J277" s="13">
        <v>3</v>
      </c>
      <c r="K277" s="14" t="str">
        <f>HYPERLINK("http://twitter.com/download/iphone","Twitter for iPhone")</f>
        <v>Twitter for iPhone</v>
      </c>
      <c r="L277" s="13">
        <v>5019</v>
      </c>
      <c r="M277" s="13">
        <v>5451</v>
      </c>
      <c r="N277" s="13">
        <v>137</v>
      </c>
      <c r="O277" s="15"/>
      <c r="P277" s="6">
        <v>39949.83803240741</v>
      </c>
      <c r="Q277" s="16" t="s">
        <v>1631</v>
      </c>
      <c r="R277" s="17" t="s">
        <v>1632</v>
      </c>
      <c r="S277" s="12"/>
      <c r="T277" s="12"/>
      <c r="U277" s="10" t="str">
        <f>HYPERLINK("https://pbs.twimg.com/profile_images/945388141254463490/ZS9qUZtT.jpg","View")</f>
        <v>View</v>
      </c>
    </row>
    <row r="278" spans="1:21" ht="30.6">
      <c r="A278" s="6">
        <v>43426.908356481479</v>
      </c>
      <c r="B278" s="7" t="str">
        <f>HYPERLINK("https://twitter.com/CapitanKyros","@CapitanKyros")</f>
        <v>@CapitanKyros</v>
      </c>
      <c r="C278" s="8" t="s">
        <v>1637</v>
      </c>
      <c r="D278" s="9" t="s">
        <v>1638</v>
      </c>
      <c r="E278" s="10" t="str">
        <f>HYPERLINK("https://twitter.com/CapitanKyros/status/1065708507658444804","1065708507658444804")</f>
        <v>1065708507658444804</v>
      </c>
      <c r="F278" s="11" t="s">
        <v>1639</v>
      </c>
      <c r="G278" s="12"/>
      <c r="H278" s="12"/>
      <c r="I278" s="13">
        <v>1</v>
      </c>
      <c r="J278" s="13">
        <v>1</v>
      </c>
      <c r="K278" s="14" t="str">
        <f>HYPERLINK("https://curiouscat.me","Curious Cat")</f>
        <v>Curious Cat</v>
      </c>
      <c r="L278" s="13">
        <v>157</v>
      </c>
      <c r="M278" s="13">
        <v>121</v>
      </c>
      <c r="N278" s="13">
        <v>7</v>
      </c>
      <c r="O278" s="15"/>
      <c r="P278" s="6">
        <v>41086.656539351854</v>
      </c>
      <c r="Q278" s="16" t="s">
        <v>1641</v>
      </c>
      <c r="R278" s="17" t="s">
        <v>1642</v>
      </c>
      <c r="S278" s="12"/>
      <c r="T278" s="12"/>
      <c r="U278" s="10" t="str">
        <f>HYPERLINK("https://pbs.twimg.com/profile_images/1026937419353022470/ckGbv03y.jpg","View")</f>
        <v>View</v>
      </c>
    </row>
    <row r="279" spans="1:21" ht="51">
      <c r="A279" s="6">
        <v>43426.904930555553</v>
      </c>
      <c r="B279" s="7" t="str">
        <f>HYPERLINK("https://twitter.com/Castilla_1520","@Castilla_1520")</f>
        <v>@Castilla_1520</v>
      </c>
      <c r="C279" s="8" t="s">
        <v>891</v>
      </c>
      <c r="D279" s="9" t="s">
        <v>892</v>
      </c>
      <c r="E279" s="10" t="str">
        <f>HYPERLINK("https://twitter.com/Castilla_1520/status/1065707263661391872","1065707263661391872")</f>
        <v>1065707263661391872</v>
      </c>
      <c r="F279" s="12"/>
      <c r="G279" s="12"/>
      <c r="H279" s="12"/>
      <c r="I279" s="13">
        <v>0</v>
      </c>
      <c r="J279" s="13">
        <v>4</v>
      </c>
      <c r="K279" s="14" t="str">
        <f>HYPERLINK("http://twitter.com","Twitter Web Client")</f>
        <v>Twitter Web Client</v>
      </c>
      <c r="L279" s="13">
        <v>289</v>
      </c>
      <c r="M279" s="13">
        <v>618</v>
      </c>
      <c r="N279" s="13">
        <v>1</v>
      </c>
      <c r="O279" s="15"/>
      <c r="P279" s="6">
        <v>42666.669317129628</v>
      </c>
      <c r="Q279" s="16" t="s">
        <v>893</v>
      </c>
      <c r="R279" s="17" t="s">
        <v>894</v>
      </c>
      <c r="S279" s="12"/>
      <c r="T279" s="12"/>
      <c r="U279" s="10" t="str">
        <f>HYPERLINK("https://pbs.twimg.com/profile_images/790204097333002241/bsxdjmu7.jpg","View")</f>
        <v>View</v>
      </c>
    </row>
    <row r="280" spans="1:21" ht="40.799999999999997">
      <c r="A280" s="6">
        <v>43426.904328703706</v>
      </c>
      <c r="B280" s="7" t="str">
        <f>HYPERLINK("https://twitter.com/BeatMiro","@BeatMiro")</f>
        <v>@BeatMiro</v>
      </c>
      <c r="C280" s="8" t="s">
        <v>895</v>
      </c>
      <c r="D280" s="9" t="s">
        <v>896</v>
      </c>
      <c r="E280" s="10" t="str">
        <f>HYPERLINK("https://twitter.com/BeatMiro/status/1065707048128663553","1065707048128663553")</f>
        <v>1065707048128663553</v>
      </c>
      <c r="F280" s="12"/>
      <c r="G280" s="11" t="s">
        <v>897</v>
      </c>
      <c r="H280" s="12"/>
      <c r="I280" s="13">
        <v>4</v>
      </c>
      <c r="J280" s="13">
        <v>2</v>
      </c>
      <c r="K280" s="14" t="str">
        <f>HYPERLINK("http://twitter.com/download/iphone","Twitter for iPhone")</f>
        <v>Twitter for iPhone</v>
      </c>
      <c r="L280" s="13">
        <v>2990</v>
      </c>
      <c r="M280" s="13">
        <v>2899</v>
      </c>
      <c r="N280" s="13">
        <v>18</v>
      </c>
      <c r="O280" s="15"/>
      <c r="P280" s="6">
        <v>41356.816400462965</v>
      </c>
      <c r="Q280" s="16" t="s">
        <v>898</v>
      </c>
      <c r="R280" s="17" t="s">
        <v>899</v>
      </c>
      <c r="S280" s="12"/>
      <c r="T280" s="12"/>
      <c r="U280" s="10" t="str">
        <f>HYPERLINK("https://pbs.twimg.com/profile_images/944911380146094080/-rIHGHi6.jpg","View")</f>
        <v>View</v>
      </c>
    </row>
    <row r="281" spans="1:21" ht="30.6">
      <c r="A281" s="6">
        <v>43426.904050925921</v>
      </c>
      <c r="B281" s="7" t="str">
        <f>HYPERLINK("https://twitter.com/lunadebenidorm","@lunadebenidorm")</f>
        <v>@lunadebenidorm</v>
      </c>
      <c r="C281" s="8" t="s">
        <v>517</v>
      </c>
      <c r="D281" s="9" t="s">
        <v>1650</v>
      </c>
      <c r="E281" s="10" t="str">
        <f>HYPERLINK("https://twitter.com/lunadebenidorm/status/1065706944529383424","1065706944529383424")</f>
        <v>1065706944529383424</v>
      </c>
      <c r="F281" s="12"/>
      <c r="G281" s="12"/>
      <c r="H281" s="12"/>
      <c r="I281" s="13">
        <v>0</v>
      </c>
      <c r="J281" s="13">
        <v>0</v>
      </c>
      <c r="K281" s="14" t="str">
        <f t="shared" ref="K281:K282" si="60">HYPERLINK("http://twitter.com/download/android","Twitter for Android")</f>
        <v>Twitter for Android</v>
      </c>
      <c r="L281" s="13">
        <v>3991</v>
      </c>
      <c r="M281" s="13">
        <v>3978</v>
      </c>
      <c r="N281" s="13">
        <v>79</v>
      </c>
      <c r="O281" s="15"/>
      <c r="P281" s="6">
        <v>41461.81186342593</v>
      </c>
      <c r="Q281" s="12"/>
      <c r="R281" s="17" t="s">
        <v>519</v>
      </c>
      <c r="S281" s="12"/>
      <c r="T281" s="12"/>
      <c r="U281" s="10" t="str">
        <f>HYPERLINK("https://pbs.twimg.com/profile_images/1061229593758257153/rePCQt08.jpg","View")</f>
        <v>View</v>
      </c>
    </row>
    <row r="282" spans="1:21" ht="51">
      <c r="A282" s="6">
        <v>43426.902384259258</v>
      </c>
      <c r="B282" s="7" t="str">
        <f>HYPERLINK("https://twitter.com/Caguen10","@Caguen10")</f>
        <v>@Caguen10</v>
      </c>
      <c r="C282" s="8" t="s">
        <v>1653</v>
      </c>
      <c r="D282" s="9" t="s">
        <v>1654</v>
      </c>
      <c r="E282" s="10" t="str">
        <f>HYPERLINK("https://twitter.com/Caguen10/status/1065706342890041345","1065706342890041345")</f>
        <v>1065706342890041345</v>
      </c>
      <c r="F282" s="12"/>
      <c r="G282" s="12"/>
      <c r="H282" s="12"/>
      <c r="I282" s="13">
        <v>0</v>
      </c>
      <c r="J282" s="13">
        <v>2</v>
      </c>
      <c r="K282" s="14" t="str">
        <f t="shared" si="60"/>
        <v>Twitter for Android</v>
      </c>
      <c r="L282" s="13">
        <v>1118</v>
      </c>
      <c r="M282" s="13">
        <v>973</v>
      </c>
      <c r="N282" s="13">
        <v>29</v>
      </c>
      <c r="O282" s="15"/>
      <c r="P282" s="6">
        <v>40586.771354166667</v>
      </c>
      <c r="Q282" s="16" t="s">
        <v>448</v>
      </c>
      <c r="R282" s="17" t="s">
        <v>1655</v>
      </c>
      <c r="S282" s="11" t="s">
        <v>1656</v>
      </c>
      <c r="T282" s="12"/>
      <c r="U282" s="10" t="str">
        <f>HYPERLINK("https://pbs.twimg.com/profile_images/422321790057078784/C_4Zbq7M.jpeg","View")</f>
        <v>View</v>
      </c>
    </row>
    <row r="283" spans="1:21" ht="40.799999999999997">
      <c r="A283" s="6">
        <v>43426.900648148148</v>
      </c>
      <c r="B283" s="7" t="str">
        <f>HYPERLINK("https://twitter.com/18921981","@18921981")</f>
        <v>@18921981</v>
      </c>
      <c r="C283" s="8" t="s">
        <v>1659</v>
      </c>
      <c r="D283" s="9" t="s">
        <v>1661</v>
      </c>
      <c r="E283" s="10" t="str">
        <f>HYPERLINK("https://twitter.com/18921981/status/1065705713715109889","1065705713715109889")</f>
        <v>1065705713715109889</v>
      </c>
      <c r="F283" s="11" t="s">
        <v>1662</v>
      </c>
      <c r="G283" s="12"/>
      <c r="H283" s="12"/>
      <c r="I283" s="13">
        <v>0</v>
      </c>
      <c r="J283" s="13">
        <v>0</v>
      </c>
      <c r="K283" s="14" t="str">
        <f>HYPERLINK("http://twitter.com","Twitter Web Client")</f>
        <v>Twitter Web Client</v>
      </c>
      <c r="L283" s="13">
        <v>267</v>
      </c>
      <c r="M283" s="13">
        <v>194</v>
      </c>
      <c r="N283" s="13">
        <v>5</v>
      </c>
      <c r="O283" s="15"/>
      <c r="P283" s="6">
        <v>41345.786666666667</v>
      </c>
      <c r="Q283" s="12"/>
      <c r="R283" s="17" t="s">
        <v>1665</v>
      </c>
      <c r="S283" s="12"/>
      <c r="T283" s="12"/>
      <c r="U283" s="10" t="str">
        <f>HYPERLINK("https://pbs.twimg.com/profile_images/872051643130556419/5PEVvB0_.jpg","View")</f>
        <v>View</v>
      </c>
    </row>
    <row r="284" spans="1:21" ht="30.6">
      <c r="A284" s="6">
        <v>43426.899386574078</v>
      </c>
      <c r="B284" s="7" t="str">
        <f>HYPERLINK("https://twitter.com/Cs_Andalucia","@Cs_Andalucia")</f>
        <v>@Cs_Andalucia</v>
      </c>
      <c r="C284" s="8" t="s">
        <v>900</v>
      </c>
      <c r="D284" s="9" t="s">
        <v>901</v>
      </c>
      <c r="E284" s="10" t="str">
        <f>HYPERLINK("https://twitter.com/Cs_Andalucia/status/1065705255730642944","1065705255730642944")</f>
        <v>1065705255730642944</v>
      </c>
      <c r="F284" s="11" t="s">
        <v>902</v>
      </c>
      <c r="G284" s="12"/>
      <c r="H284" s="12"/>
      <c r="I284" s="13">
        <v>6</v>
      </c>
      <c r="J284" s="13">
        <v>12</v>
      </c>
      <c r="K284" s="14" t="str">
        <f>HYPERLINK("https://www.hootsuite.com","Hootsuite Inc.")</f>
        <v>Hootsuite Inc.</v>
      </c>
      <c r="L284" s="13">
        <v>23662</v>
      </c>
      <c r="M284" s="13">
        <v>1953</v>
      </c>
      <c r="N284" s="13">
        <v>283</v>
      </c>
      <c r="O284" s="18" t="s">
        <v>36</v>
      </c>
      <c r="P284" s="6">
        <v>41486.77375</v>
      </c>
      <c r="Q284" s="16" t="s">
        <v>181</v>
      </c>
      <c r="R284" s="17" t="s">
        <v>903</v>
      </c>
      <c r="S284" s="11" t="s">
        <v>904</v>
      </c>
      <c r="T284" s="12"/>
      <c r="U284" s="10" t="str">
        <f>HYPERLINK("https://pbs.twimg.com/profile_images/1058695543705231360/iGNXhBmQ.jpg","View")</f>
        <v>View</v>
      </c>
    </row>
    <row r="285" spans="1:21" ht="40.799999999999997">
      <c r="A285" s="6">
        <v>43426.899386574078</v>
      </c>
      <c r="B285" s="7" t="str">
        <f>HYPERLINK("https://twitter.com/JesusMaestroGar","@JesusMaestroGar")</f>
        <v>@JesusMaestroGar</v>
      </c>
      <c r="C285" s="8" t="s">
        <v>1671</v>
      </c>
      <c r="D285" s="9" t="s">
        <v>1672</v>
      </c>
      <c r="E285" s="10" t="str">
        <f>HYPERLINK("https://twitter.com/JesusMaestroGar/status/1065705255441186816","1065705255441186816")</f>
        <v>1065705255441186816</v>
      </c>
      <c r="F285" s="16" t="s">
        <v>1673</v>
      </c>
      <c r="G285" s="12"/>
      <c r="H285" s="12"/>
      <c r="I285" s="13">
        <v>0</v>
      </c>
      <c r="J285" s="13">
        <v>0</v>
      </c>
      <c r="K285" s="14" t="str">
        <f>HYPERLINK("http://twitter.com","Twitter Web Client")</f>
        <v>Twitter Web Client</v>
      </c>
      <c r="L285" s="13">
        <v>251</v>
      </c>
      <c r="M285" s="13">
        <v>525</v>
      </c>
      <c r="N285" s="13">
        <v>1</v>
      </c>
      <c r="O285" s="15"/>
      <c r="P285" s="6">
        <v>42028.501956018517</v>
      </c>
      <c r="Q285" s="12"/>
      <c r="R285" s="17" t="s">
        <v>1674</v>
      </c>
      <c r="S285" s="12"/>
      <c r="T285" s="12"/>
      <c r="U285" s="10" t="str">
        <f>HYPERLINK("https://pbs.twimg.com/profile_images/691167701545402368/OTE5Bri_.jpg","View")</f>
        <v>View</v>
      </c>
    </row>
    <row r="286" spans="1:21" ht="30.6">
      <c r="A286" s="6">
        <v>43426.89743055556</v>
      </c>
      <c r="B286" s="7" t="str">
        <f>HYPERLINK("https://twitter.com/mxriadelmxrlh","@mxriadelmxrlh")</f>
        <v>@mxriadelmxrlh</v>
      </c>
      <c r="C286" s="8" t="s">
        <v>1676</v>
      </c>
      <c r="D286" s="9" t="s">
        <v>1677</v>
      </c>
      <c r="E286" s="10" t="str">
        <f>HYPERLINK("https://twitter.com/mxriadelmxrlh/status/1065704545328775169","1065704545328775169")</f>
        <v>1065704545328775169</v>
      </c>
      <c r="F286" s="12"/>
      <c r="G286" s="12"/>
      <c r="H286" s="12"/>
      <c r="I286" s="13">
        <v>0</v>
      </c>
      <c r="J286" s="13">
        <v>0</v>
      </c>
      <c r="K286" s="14" t="str">
        <f>HYPERLINK("http://twitter.com/download/android","Twitter for Android")</f>
        <v>Twitter for Android</v>
      </c>
      <c r="L286" s="13">
        <v>480</v>
      </c>
      <c r="M286" s="13">
        <v>806</v>
      </c>
      <c r="N286" s="13">
        <v>3</v>
      </c>
      <c r="O286" s="15"/>
      <c r="P286" s="6">
        <v>41125.769826388889</v>
      </c>
      <c r="Q286" s="12"/>
      <c r="R286" s="17" t="s">
        <v>1678</v>
      </c>
      <c r="S286" s="12"/>
      <c r="T286" s="12"/>
      <c r="U286" s="10" t="str">
        <f>HYPERLINK("https://pbs.twimg.com/profile_images/1049779511456354311/9U9A-_es.jpg","View")</f>
        <v>View</v>
      </c>
    </row>
    <row r="287" spans="1:21" ht="40.799999999999997">
      <c r="A287" s="6">
        <v>43426.894085648149</v>
      </c>
      <c r="B287" s="7" t="str">
        <f>HYPERLINK("https://twitter.com/PdeSamos","@PdeSamos")</f>
        <v>@PdeSamos</v>
      </c>
      <c r="C287" s="8" t="s">
        <v>1574</v>
      </c>
      <c r="D287" s="9" t="s">
        <v>1681</v>
      </c>
      <c r="E287" s="10" t="str">
        <f>HYPERLINK("https://twitter.com/PdeSamos/status/1065703333342654464","1065703333342654464")</f>
        <v>1065703333342654464</v>
      </c>
      <c r="F287" s="11" t="s">
        <v>1683</v>
      </c>
      <c r="G287" s="12"/>
      <c r="H287" s="12"/>
      <c r="I287" s="13">
        <v>0</v>
      </c>
      <c r="J287" s="13">
        <v>0</v>
      </c>
      <c r="K287" s="14" t="str">
        <f>HYPERLINK("http://republico.ddns.net","App Libertad PdeSamos")</f>
        <v>App Libertad PdeSamos</v>
      </c>
      <c r="L287" s="13">
        <v>5284</v>
      </c>
      <c r="M287" s="13">
        <v>5302</v>
      </c>
      <c r="N287" s="13">
        <v>12</v>
      </c>
      <c r="O287" s="15"/>
      <c r="P287" s="6">
        <v>42889.820567129631</v>
      </c>
      <c r="Q287" s="16" t="s">
        <v>1579</v>
      </c>
      <c r="R287" s="17" t="s">
        <v>1580</v>
      </c>
      <c r="S287" s="12"/>
      <c r="T287" s="12"/>
      <c r="U287" s="10" t="str">
        <f>HYPERLINK("https://pbs.twimg.com/profile_images/871063742003511296/xK2IYbrO.jpg","View")</f>
        <v>View</v>
      </c>
    </row>
    <row r="288" spans="1:21" ht="20.399999999999999">
      <c r="A288" s="6">
        <v>43426.89335648148</v>
      </c>
      <c r="B288" s="7" t="str">
        <f>HYPERLINK("https://twitter.com/emiliopereziu","@emiliopereziu")</f>
        <v>@emiliopereziu</v>
      </c>
      <c r="C288" s="8" t="s">
        <v>905</v>
      </c>
      <c r="D288" s="9" t="s">
        <v>906</v>
      </c>
      <c r="E288" s="10" t="str">
        <f>HYPERLINK("https://twitter.com/emiliopereziu/status/1065703069202214912","1065703069202214912")</f>
        <v>1065703069202214912</v>
      </c>
      <c r="F288" s="12"/>
      <c r="G288" s="11" t="s">
        <v>907</v>
      </c>
      <c r="H288" s="12"/>
      <c r="I288" s="13">
        <v>4</v>
      </c>
      <c r="J288" s="13">
        <v>5</v>
      </c>
      <c r="K288" s="14" t="str">
        <f>HYPERLINK("http://twitter.com/download/android","Twitter for Android")</f>
        <v>Twitter for Android</v>
      </c>
      <c r="L288" s="13">
        <v>23516</v>
      </c>
      <c r="M288" s="13">
        <v>14225</v>
      </c>
      <c r="N288" s="13">
        <v>137</v>
      </c>
      <c r="O288" s="15"/>
      <c r="P288" s="6">
        <v>41479.692824074074</v>
      </c>
      <c r="Q288" s="16" t="s">
        <v>908</v>
      </c>
      <c r="R288" s="17" t="s">
        <v>909</v>
      </c>
      <c r="S288" s="12"/>
      <c r="T288" s="12"/>
      <c r="U288" s="10" t="str">
        <f>HYPERLINK("https://pbs.twimg.com/profile_images/1028010469980889094/HEJLTSOg.jpg","View")</f>
        <v>View</v>
      </c>
    </row>
    <row r="289" spans="1:21" ht="40.799999999999997">
      <c r="A289" s="6">
        <v>43426.890844907408</v>
      </c>
      <c r="B289" s="7" t="str">
        <f>HYPERLINK("https://twitter.com/tobcnwithlove","@tobcnwithlove")</f>
        <v>@tobcnwithlove</v>
      </c>
      <c r="C289" s="8" t="s">
        <v>1689</v>
      </c>
      <c r="D289" s="9" t="s">
        <v>1690</v>
      </c>
      <c r="E289" s="10" t="str">
        <f>HYPERLINK("https://twitter.com/tobcnwithlove/status/1065702158438490114","1065702158438490114")</f>
        <v>1065702158438490114</v>
      </c>
      <c r="F289" s="12"/>
      <c r="G289" s="11" t="s">
        <v>1692</v>
      </c>
      <c r="H289" s="12"/>
      <c r="I289" s="13">
        <v>1</v>
      </c>
      <c r="J289" s="13">
        <v>2</v>
      </c>
      <c r="K289" s="14" t="str">
        <f>HYPERLINK("http://twitter.com/download/iphone","Twitter for iPhone")</f>
        <v>Twitter for iPhone</v>
      </c>
      <c r="L289" s="13">
        <v>2483</v>
      </c>
      <c r="M289" s="13">
        <v>697</v>
      </c>
      <c r="N289" s="13">
        <v>84</v>
      </c>
      <c r="O289" s="15"/>
      <c r="P289" s="6">
        <v>40595.950532407405</v>
      </c>
      <c r="Q289" s="16" t="s">
        <v>1693</v>
      </c>
      <c r="R289" s="17" t="s">
        <v>1694</v>
      </c>
      <c r="S289" s="11" t="s">
        <v>1695</v>
      </c>
      <c r="T289" s="12"/>
      <c r="U289" s="10" t="str">
        <f>HYPERLINK("https://pbs.twimg.com/profile_images/1003374288076984321/hs9YZwnf.jpg","View")</f>
        <v>View</v>
      </c>
    </row>
    <row r="290" spans="1:21" ht="20.399999999999999">
      <c r="A290" s="6">
        <v>43426.888807870375</v>
      </c>
      <c r="B290" s="7" t="str">
        <f>HYPERLINK("https://twitter.com/taoista56","@taoista56")</f>
        <v>@taoista56</v>
      </c>
      <c r="C290" s="8" t="s">
        <v>1696</v>
      </c>
      <c r="D290" s="9" t="s">
        <v>1697</v>
      </c>
      <c r="E290" s="10" t="str">
        <f>HYPERLINK("https://twitter.com/taoista56/status/1065701422812065794","1065701422812065794")</f>
        <v>1065701422812065794</v>
      </c>
      <c r="F290" s="11" t="s">
        <v>1700</v>
      </c>
      <c r="G290" s="12"/>
      <c r="H290" s="12"/>
      <c r="I290" s="13">
        <v>0</v>
      </c>
      <c r="J290" s="13">
        <v>0</v>
      </c>
      <c r="K290" s="14" t="str">
        <f>HYPERLINK("http://twitter.com","Twitter Web Client")</f>
        <v>Twitter Web Client</v>
      </c>
      <c r="L290" s="13">
        <v>579</v>
      </c>
      <c r="M290" s="13">
        <v>1914</v>
      </c>
      <c r="N290" s="13">
        <v>6</v>
      </c>
      <c r="O290" s="15"/>
      <c r="P290" s="6">
        <v>40819.876863425925</v>
      </c>
      <c r="Q290" s="16" t="s">
        <v>1701</v>
      </c>
      <c r="R290" s="19"/>
      <c r="S290" s="12"/>
      <c r="T290" s="12"/>
      <c r="U290" s="10" t="str">
        <f>HYPERLINK("https://pbs.twimg.com/profile_images/694232062031740928/1tub_Vsu.png","View")</f>
        <v>View</v>
      </c>
    </row>
    <row r="291" spans="1:21" ht="20.399999999999999">
      <c r="A291" s="6">
        <v>43426.886550925927</v>
      </c>
      <c r="B291" s="7" t="str">
        <f>HYPERLINK("https://twitter.com/CiudadanoKane11","@CiudadanoKane11")</f>
        <v>@CiudadanoKane11</v>
      </c>
      <c r="C291" s="8" t="s">
        <v>1705</v>
      </c>
      <c r="D291" s="9" t="s">
        <v>1706</v>
      </c>
      <c r="E291" s="10" t="str">
        <f>HYPERLINK("https://twitter.com/CiudadanoKane11/status/1065700604201369601","1065700604201369601")</f>
        <v>1065700604201369601</v>
      </c>
      <c r="F291" s="11" t="s">
        <v>1709</v>
      </c>
      <c r="G291" s="12"/>
      <c r="H291" s="12"/>
      <c r="I291" s="13">
        <v>0</v>
      </c>
      <c r="J291" s="13">
        <v>0</v>
      </c>
      <c r="K291" s="14" t="str">
        <f>HYPERLINK("https://paper.li","Paper.li")</f>
        <v>Paper.li</v>
      </c>
      <c r="L291" s="13">
        <v>45</v>
      </c>
      <c r="M291" s="13">
        <v>88</v>
      </c>
      <c r="N291" s="13">
        <v>0</v>
      </c>
      <c r="O291" s="15"/>
      <c r="P291" s="6">
        <v>43202.993217592593</v>
      </c>
      <c r="Q291" s="16" t="s">
        <v>37</v>
      </c>
      <c r="R291" s="19"/>
      <c r="S291" s="12"/>
      <c r="T291" s="12"/>
      <c r="U291" s="10" t="str">
        <f>HYPERLINK("https://pbs.twimg.com/profile_images/984553555905400832/B5Gpg7hf.jpg","View")</f>
        <v>View</v>
      </c>
    </row>
    <row r="292" spans="1:21" ht="30.6">
      <c r="A292" s="6">
        <v>43426.884837962964</v>
      </c>
      <c r="B292" s="7" t="str">
        <f>HYPERLINK("https://twitter.com/rmassanet","@rmassanet")</f>
        <v>@rmassanet</v>
      </c>
      <c r="C292" s="8" t="s">
        <v>910</v>
      </c>
      <c r="D292" s="9" t="s">
        <v>911</v>
      </c>
      <c r="E292" s="10" t="str">
        <f>HYPERLINK("https://twitter.com/rmassanet/status/1065699984325165056","1065699984325165056")</f>
        <v>1065699984325165056</v>
      </c>
      <c r="F292" s="16" t="s">
        <v>912</v>
      </c>
      <c r="G292" s="12"/>
      <c r="H292" s="12"/>
      <c r="I292" s="13">
        <v>0</v>
      </c>
      <c r="J292" s="13">
        <v>0</v>
      </c>
      <c r="K292" s="14" t="str">
        <f t="shared" ref="K292:K293" si="61">HYPERLINK("http://twitter.com/download/android","Twitter for Android")</f>
        <v>Twitter for Android</v>
      </c>
      <c r="L292" s="13">
        <v>111</v>
      </c>
      <c r="M292" s="13">
        <v>531</v>
      </c>
      <c r="N292" s="13">
        <v>4</v>
      </c>
      <c r="O292" s="15"/>
      <c r="P292" s="6">
        <v>40679.83934027778</v>
      </c>
      <c r="Q292" s="12"/>
      <c r="R292" s="19"/>
      <c r="S292" s="12"/>
      <c r="T292" s="12"/>
      <c r="U292" s="10" t="str">
        <f>HYPERLINK("https://pbs.twimg.com/profile_images/1356477000/a_Athina_avatar.jpg","View")</f>
        <v>View</v>
      </c>
    </row>
    <row r="293" spans="1:21" ht="40.799999999999997">
      <c r="A293" s="6">
        <v>43426.884768518517</v>
      </c>
      <c r="B293" s="7" t="str">
        <f>HYPERLINK("https://twitter.com/AntonioRNaranjo","@AntonioRNaranjo")</f>
        <v>@AntonioRNaranjo</v>
      </c>
      <c r="C293" s="8" t="s">
        <v>913</v>
      </c>
      <c r="D293" s="9" t="s">
        <v>914</v>
      </c>
      <c r="E293" s="10" t="str">
        <f>HYPERLINK("https://twitter.com/AntonioRNaranjo/status/1065699960316985347","1065699960316985347")</f>
        <v>1065699960316985347</v>
      </c>
      <c r="F293" s="12"/>
      <c r="G293" s="12"/>
      <c r="H293" s="12"/>
      <c r="I293" s="13">
        <v>437</v>
      </c>
      <c r="J293" s="13">
        <v>953</v>
      </c>
      <c r="K293" s="14" t="str">
        <f t="shared" si="61"/>
        <v>Twitter for Android</v>
      </c>
      <c r="L293" s="13">
        <v>38259</v>
      </c>
      <c r="M293" s="13">
        <v>998</v>
      </c>
      <c r="N293" s="13">
        <v>724</v>
      </c>
      <c r="O293" s="15"/>
      <c r="P293" s="6">
        <v>40092.434618055559</v>
      </c>
      <c r="Q293" s="16" t="s">
        <v>915</v>
      </c>
      <c r="R293" s="17" t="s">
        <v>916</v>
      </c>
      <c r="S293" s="11" t="s">
        <v>917</v>
      </c>
      <c r="T293" s="12"/>
      <c r="U293" s="10" t="str">
        <f>HYPERLINK("https://pbs.twimg.com/profile_images/914332049061883906/nDDFYCio.jpg","View")</f>
        <v>View</v>
      </c>
    </row>
    <row r="294" spans="1:21" ht="51">
      <c r="A294" s="6">
        <v>43426.876284722224</v>
      </c>
      <c r="B294" s="7" t="str">
        <f>HYPERLINK("https://twitter.com/mariflus46","@mariflus46")</f>
        <v>@mariflus46</v>
      </c>
      <c r="C294" s="8" t="s">
        <v>918</v>
      </c>
      <c r="D294" s="9" t="s">
        <v>919</v>
      </c>
      <c r="E294" s="10" t="str">
        <f>HYPERLINK("https://twitter.com/mariflus46/status/1065696882423414784","1065696882423414784")</f>
        <v>1065696882423414784</v>
      </c>
      <c r="F294" s="12"/>
      <c r="G294" s="12"/>
      <c r="H294" s="12"/>
      <c r="I294" s="13">
        <v>0</v>
      </c>
      <c r="J294" s="13">
        <v>2</v>
      </c>
      <c r="K294" s="14" t="str">
        <f>HYPERLINK("https://mobile.twitter.com","Twitter Lite")</f>
        <v>Twitter Lite</v>
      </c>
      <c r="L294" s="13">
        <v>207</v>
      </c>
      <c r="M294" s="13">
        <v>331</v>
      </c>
      <c r="N294" s="13">
        <v>1</v>
      </c>
      <c r="O294" s="15"/>
      <c r="P294" s="6">
        <v>40925.984513888892</v>
      </c>
      <c r="Q294" s="12"/>
      <c r="R294" s="17" t="s">
        <v>920</v>
      </c>
      <c r="S294" s="12"/>
      <c r="T294" s="12"/>
      <c r="U294" s="10" t="str">
        <f>HYPERLINK("https://pbs.twimg.com/profile_images/687764595491094528/Xgc9fxk2.jpg","View")</f>
        <v>View</v>
      </c>
    </row>
    <row r="295" spans="1:21" ht="61.2">
      <c r="A295" s="6">
        <v>43426.875567129631</v>
      </c>
      <c r="B295" s="7" t="str">
        <f>HYPERLINK("https://twitter.com/compromtido22","@compromtido22")</f>
        <v>@compromtido22</v>
      </c>
      <c r="C295" s="8" t="s">
        <v>1719</v>
      </c>
      <c r="D295" s="9" t="s">
        <v>1720</v>
      </c>
      <c r="E295" s="10" t="str">
        <f>HYPERLINK("https://twitter.com/compromtido22/status/1065696623412547587","1065696623412547587")</f>
        <v>1065696623412547587</v>
      </c>
      <c r="F295" s="12"/>
      <c r="G295" s="12"/>
      <c r="H295" s="12"/>
      <c r="I295" s="13">
        <v>0</v>
      </c>
      <c r="J295" s="13">
        <v>0</v>
      </c>
      <c r="K295" s="14" t="str">
        <f>HYPERLINK("http://twitter.com/download/android","Twitter for Android")</f>
        <v>Twitter for Android</v>
      </c>
      <c r="L295" s="13">
        <v>962</v>
      </c>
      <c r="M295" s="13">
        <v>859</v>
      </c>
      <c r="N295" s="13">
        <v>15</v>
      </c>
      <c r="O295" s="15"/>
      <c r="P295" s="6">
        <v>42411.832291666666</v>
      </c>
      <c r="Q295" s="12"/>
      <c r="R295" s="17" t="s">
        <v>1722</v>
      </c>
      <c r="S295" s="12"/>
      <c r="T295" s="12"/>
      <c r="U295" s="10" t="str">
        <f>HYPERLINK("https://pbs.twimg.com/profile_images/1062806370267860993/RfSkyzB-.jpg","View")</f>
        <v>View</v>
      </c>
    </row>
    <row r="296" spans="1:21" ht="13.2">
      <c r="A296" s="6">
        <v>43426.87431712963</v>
      </c>
      <c r="B296" s="7" t="str">
        <f>HYPERLINK("https://twitter.com/HEAVENDIED","@HEAVENDIED")</f>
        <v>@HEAVENDIED</v>
      </c>
      <c r="C296" s="8" t="s">
        <v>1723</v>
      </c>
      <c r="D296" s="9" t="s">
        <v>1724</v>
      </c>
      <c r="E296" s="10" t="str">
        <f>HYPERLINK("https://twitter.com/HEAVENDIED/status/1065696169437945857","1065696169437945857")</f>
        <v>1065696169437945857</v>
      </c>
      <c r="F296" s="11" t="s">
        <v>1725</v>
      </c>
      <c r="G296" s="12"/>
      <c r="H296" s="12"/>
      <c r="I296" s="13">
        <v>0</v>
      </c>
      <c r="J296" s="13">
        <v>0</v>
      </c>
      <c r="K296" s="14" t="str">
        <f>HYPERLINK("http://twitter.com/download/iphone","Twitter for iPhone")</f>
        <v>Twitter for iPhone</v>
      </c>
      <c r="L296" s="13">
        <v>197</v>
      </c>
      <c r="M296" s="13">
        <v>355</v>
      </c>
      <c r="N296" s="13">
        <v>5</v>
      </c>
      <c r="O296" s="15"/>
      <c r="P296" s="6">
        <v>43000.662442129629</v>
      </c>
      <c r="Q296" s="16" t="s">
        <v>1728</v>
      </c>
      <c r="R296" s="17" t="s">
        <v>1729</v>
      </c>
      <c r="S296" s="12"/>
      <c r="T296" s="12"/>
      <c r="U296" s="10" t="str">
        <f>HYPERLINK("https://pbs.twimg.com/profile_images/911229737074339840/7WrDsYfJ.jpg","View")</f>
        <v>View</v>
      </c>
    </row>
    <row r="297" spans="1:21" ht="40.799999999999997">
      <c r="A297" s="6">
        <v>43426.873888888891</v>
      </c>
      <c r="B297" s="7" t="str">
        <f>HYPERLINK("https://twitter.com/TercioHispanico","@TercioHispanico")</f>
        <v>@TercioHispanico</v>
      </c>
      <c r="C297" s="8" t="s">
        <v>1730</v>
      </c>
      <c r="D297" s="9" t="s">
        <v>1731</v>
      </c>
      <c r="E297" s="10" t="str">
        <f>HYPERLINK("https://twitter.com/TercioHispanico/status/1065696016467468288","1065696016467468288")</f>
        <v>1065696016467468288</v>
      </c>
      <c r="F297" s="11" t="s">
        <v>1732</v>
      </c>
      <c r="G297" s="12"/>
      <c r="H297" s="12"/>
      <c r="I297" s="13">
        <v>0</v>
      </c>
      <c r="J297" s="13">
        <v>0</v>
      </c>
      <c r="K297" s="14" t="str">
        <f>HYPERLINK("https://diariorc.com","Tercio Hispánico App C")</f>
        <v>Tercio Hispánico App C</v>
      </c>
      <c r="L297" s="13">
        <v>1463</v>
      </c>
      <c r="M297" s="13">
        <v>1448</v>
      </c>
      <c r="N297" s="13">
        <v>3</v>
      </c>
      <c r="O297" s="15"/>
      <c r="P297" s="6">
        <v>43074.817384259259</v>
      </c>
      <c r="Q297" s="16" t="s">
        <v>37</v>
      </c>
      <c r="R297" s="17" t="s">
        <v>1733</v>
      </c>
      <c r="S297" s="12"/>
      <c r="T297" s="12"/>
      <c r="U297" s="10" t="str">
        <f>HYPERLINK("https://pbs.twimg.com/profile_images/938810411045941249/GJ1yq9OJ.jpg","View")</f>
        <v>View</v>
      </c>
    </row>
    <row r="298" spans="1:21" ht="30.6">
      <c r="A298" s="6">
        <v>43426.873576388884</v>
      </c>
      <c r="B298" s="7" t="str">
        <f>HYPERLINK("https://twitter.com/Dani_CarpioM","@Dani_CarpioM")</f>
        <v>@Dani_CarpioM</v>
      </c>
      <c r="C298" s="8" t="s">
        <v>1734</v>
      </c>
      <c r="D298" s="9" t="s">
        <v>1735</v>
      </c>
      <c r="E298" s="10" t="str">
        <f>HYPERLINK("https://twitter.com/Dani_CarpioM/status/1065695902432718848","1065695902432718848")</f>
        <v>1065695902432718848</v>
      </c>
      <c r="F298" s="12"/>
      <c r="G298" s="12"/>
      <c r="H298" s="12"/>
      <c r="I298" s="13">
        <v>0</v>
      </c>
      <c r="J298" s="13">
        <v>1</v>
      </c>
      <c r="K298" s="14" t="str">
        <f t="shared" ref="K298:K300" si="62">HYPERLINK("http://twitter.com","Twitter Web Client")</f>
        <v>Twitter Web Client</v>
      </c>
      <c r="L298" s="13">
        <v>230</v>
      </c>
      <c r="M298" s="13">
        <v>476</v>
      </c>
      <c r="N298" s="13">
        <v>1</v>
      </c>
      <c r="O298" s="15"/>
      <c r="P298" s="6">
        <v>40883.698935185181</v>
      </c>
      <c r="Q298" s="16" t="s">
        <v>333</v>
      </c>
      <c r="R298" s="17" t="s">
        <v>1738</v>
      </c>
      <c r="S298" s="11" t="s">
        <v>1739</v>
      </c>
      <c r="T298" s="12"/>
      <c r="U298" s="10" t="str">
        <f>HYPERLINK("https://pbs.twimg.com/profile_images/1058379281775116289/MCwxT0xp.jpg","View")</f>
        <v>View</v>
      </c>
    </row>
    <row r="299" spans="1:21" ht="20.399999999999999">
      <c r="A299" s="6">
        <v>43426.872766203705</v>
      </c>
      <c r="B299" s="7" t="str">
        <f>HYPERLINK("https://twitter.com/LrdsgtrrzCano","@LrdsgtrrzCano")</f>
        <v>@LrdsgtrrzCano</v>
      </c>
      <c r="C299" s="8" t="s">
        <v>1740</v>
      </c>
      <c r="D299" s="9" t="s">
        <v>1741</v>
      </c>
      <c r="E299" s="10" t="str">
        <f>HYPERLINK("https://twitter.com/LrdsgtrrzCano/status/1065695608781049856","1065695608781049856")</f>
        <v>1065695608781049856</v>
      </c>
      <c r="F299" s="11" t="s">
        <v>1743</v>
      </c>
      <c r="G299" s="12"/>
      <c r="H299" s="12"/>
      <c r="I299" s="13">
        <v>7</v>
      </c>
      <c r="J299" s="13">
        <v>4</v>
      </c>
      <c r="K299" s="14" t="str">
        <f t="shared" si="62"/>
        <v>Twitter Web Client</v>
      </c>
      <c r="L299" s="13">
        <v>7331</v>
      </c>
      <c r="M299" s="13">
        <v>7417</v>
      </c>
      <c r="N299" s="13">
        <v>66</v>
      </c>
      <c r="O299" s="15"/>
      <c r="P299" s="6">
        <v>42099.634965277779</v>
      </c>
      <c r="Q299" s="12"/>
      <c r="R299" s="17" t="s">
        <v>1744</v>
      </c>
      <c r="S299" s="12"/>
      <c r="T299" s="12"/>
      <c r="U299" s="10" t="str">
        <f>HYPERLINK("https://pbs.twimg.com/profile_images/1038616896805982209/ILjEP63I.jpg","View")</f>
        <v>View</v>
      </c>
    </row>
    <row r="300" spans="1:21" ht="51">
      <c r="A300" s="6">
        <v>43426.870138888888</v>
      </c>
      <c r="B300" s="7" t="str">
        <f>HYPERLINK("https://twitter.com/Noticias24horas","@Noticias24horas")</f>
        <v>@Noticias24horas</v>
      </c>
      <c r="C300" s="8" t="s">
        <v>120</v>
      </c>
      <c r="D300" s="9" t="s">
        <v>1747</v>
      </c>
      <c r="E300" s="10" t="str">
        <f>HYPERLINK("https://twitter.com/Noticias24horas/status/1065694657957515265","1065694657957515265")</f>
        <v>1065694657957515265</v>
      </c>
      <c r="F300" s="11" t="s">
        <v>122</v>
      </c>
      <c r="G300" s="11" t="s">
        <v>1748</v>
      </c>
      <c r="H300" s="12"/>
      <c r="I300" s="13">
        <v>0</v>
      </c>
      <c r="J300" s="13">
        <v>0</v>
      </c>
      <c r="K300" s="14" t="str">
        <f t="shared" si="62"/>
        <v>Twitter Web Client</v>
      </c>
      <c r="L300" s="13">
        <v>47981</v>
      </c>
      <c r="M300" s="13">
        <v>14451</v>
      </c>
      <c r="N300" s="13">
        <v>623</v>
      </c>
      <c r="O300" s="15"/>
      <c r="P300" s="6">
        <v>39799.161666666667</v>
      </c>
      <c r="Q300" s="16" t="s">
        <v>125</v>
      </c>
      <c r="R300" s="17" t="s">
        <v>127</v>
      </c>
      <c r="S300" s="11" t="s">
        <v>128</v>
      </c>
      <c r="T300" s="12"/>
      <c r="U300" s="10" t="str">
        <f>HYPERLINK("https://pbs.twimg.com/profile_images/739091131011567616/GfKL7dJ1.jpg","View")</f>
        <v>View</v>
      </c>
    </row>
    <row r="301" spans="1:21" ht="20.399999999999999">
      <c r="A301" s="6">
        <v>43426.869953703703</v>
      </c>
      <c r="B301" s="7" t="str">
        <f>HYPERLINK("https://twitter.com/andreaarmesto","@andreaarmesto")</f>
        <v>@andreaarmesto</v>
      </c>
      <c r="C301" s="8" t="s">
        <v>1752</v>
      </c>
      <c r="D301" s="9" t="s">
        <v>1753</v>
      </c>
      <c r="E301" s="10" t="str">
        <f>HYPERLINK("https://twitter.com/andreaarmesto/status/1065694589984624640","1065694589984624640")</f>
        <v>1065694589984624640</v>
      </c>
      <c r="F301" s="12"/>
      <c r="G301" s="12"/>
      <c r="H301" s="12"/>
      <c r="I301" s="13">
        <v>0</v>
      </c>
      <c r="J301" s="13">
        <v>1</v>
      </c>
      <c r="K301" s="14" t="str">
        <f>HYPERLINK("http://twitter.com/download/iphone","Twitter for iPhone")</f>
        <v>Twitter for iPhone</v>
      </c>
      <c r="L301" s="13">
        <v>240</v>
      </c>
      <c r="M301" s="13">
        <v>628</v>
      </c>
      <c r="N301" s="13">
        <v>7</v>
      </c>
      <c r="O301" s="15"/>
      <c r="P301" s="6">
        <v>40266.493958333333</v>
      </c>
      <c r="Q301" s="16" t="s">
        <v>1755</v>
      </c>
      <c r="R301" s="17" t="s">
        <v>1757</v>
      </c>
      <c r="S301" s="12"/>
      <c r="T301" s="12"/>
      <c r="U301" s="10" t="str">
        <f>HYPERLINK("https://pbs.twimg.com/profile_images/1060275311055699972/-g84YhfD.jpg","View")</f>
        <v>View</v>
      </c>
    </row>
    <row r="302" spans="1:21" ht="30.6">
      <c r="A302" s="6">
        <v>43426.868993055556</v>
      </c>
      <c r="B302" s="7" t="str">
        <f>HYPERLINK("https://twitter.com/Noticias24horas","@Noticias24horas")</f>
        <v>@Noticias24horas</v>
      </c>
      <c r="C302" s="8" t="s">
        <v>120</v>
      </c>
      <c r="D302" s="9" t="s">
        <v>1758</v>
      </c>
      <c r="E302" s="10" t="str">
        <f>HYPERLINK("https://twitter.com/Noticias24horas/status/1065694243325452288","1065694243325452288")</f>
        <v>1065694243325452288</v>
      </c>
      <c r="F302" s="11" t="s">
        <v>122</v>
      </c>
      <c r="G302" s="11" t="s">
        <v>1759</v>
      </c>
      <c r="H302" s="12"/>
      <c r="I302" s="13">
        <v>1</v>
      </c>
      <c r="J302" s="13">
        <v>0</v>
      </c>
      <c r="K302" s="14" t="str">
        <f>HYPERLINK("http://twitter.com","Twitter Web Client")</f>
        <v>Twitter Web Client</v>
      </c>
      <c r="L302" s="13">
        <v>47981</v>
      </c>
      <c r="M302" s="13">
        <v>14451</v>
      </c>
      <c r="N302" s="13">
        <v>623</v>
      </c>
      <c r="O302" s="15"/>
      <c r="P302" s="6">
        <v>39799.161666666667</v>
      </c>
      <c r="Q302" s="16" t="s">
        <v>125</v>
      </c>
      <c r="R302" s="17" t="s">
        <v>127</v>
      </c>
      <c r="S302" s="11" t="s">
        <v>128</v>
      </c>
      <c r="T302" s="12"/>
      <c r="U302" s="10" t="str">
        <f>HYPERLINK("https://pbs.twimg.com/profile_images/739091131011567616/GfKL7dJ1.jpg","View")</f>
        <v>View</v>
      </c>
    </row>
    <row r="303" spans="1:21" ht="71.400000000000006">
      <c r="A303" s="6">
        <v>43426.868738425925</v>
      </c>
      <c r="B303" s="7" t="str">
        <f>HYPERLINK("https://twitter.com/jegomezal","@jegomezal")</f>
        <v>@jegomezal</v>
      </c>
      <c r="C303" s="8" t="s">
        <v>921</v>
      </c>
      <c r="D303" s="9" t="s">
        <v>922</v>
      </c>
      <c r="E303" s="10" t="str">
        <f>HYPERLINK("https://twitter.com/jegomezal/status/1065694149368782853","1065694149368782853")</f>
        <v>1065694149368782853</v>
      </c>
      <c r="F303" s="16" t="s">
        <v>923</v>
      </c>
      <c r="G303" s="12"/>
      <c r="H303" s="12"/>
      <c r="I303" s="13">
        <v>0</v>
      </c>
      <c r="J303" s="13">
        <v>0</v>
      </c>
      <c r="K303" s="14" t="str">
        <f>HYPERLINK("http://twitter.com/download/android","Twitter for Android")</f>
        <v>Twitter for Android</v>
      </c>
      <c r="L303" s="13">
        <v>89</v>
      </c>
      <c r="M303" s="13">
        <v>243</v>
      </c>
      <c r="N303" s="13">
        <v>12</v>
      </c>
      <c r="O303" s="15"/>
      <c r="P303" s="6">
        <v>42435.571886574078</v>
      </c>
      <c r="Q303" s="12"/>
      <c r="R303" s="17" t="s">
        <v>924</v>
      </c>
      <c r="S303" s="12"/>
      <c r="T303" s="12"/>
      <c r="U303" s="10" t="str">
        <f>HYPERLINK("https://pbs.twimg.com/profile_images/1030125639599357952/knvgtK3n.jpg","View")</f>
        <v>View</v>
      </c>
    </row>
    <row r="304" spans="1:21" ht="40.799999999999997">
      <c r="A304" s="6">
        <v>43426.866736111115</v>
      </c>
      <c r="B304" s="7" t="str">
        <f>HYPERLINK("https://twitter.com/Noticias24horas","@Noticias24horas")</f>
        <v>@Noticias24horas</v>
      </c>
      <c r="C304" s="8" t="s">
        <v>120</v>
      </c>
      <c r="D304" s="9" t="s">
        <v>1349</v>
      </c>
      <c r="E304" s="10" t="str">
        <f>HYPERLINK("https://twitter.com/Noticias24horas/status/1065693423427117056","1065693423427117056")</f>
        <v>1065693423427117056</v>
      </c>
      <c r="F304" s="11" t="s">
        <v>122</v>
      </c>
      <c r="G304" s="12"/>
      <c r="H304" s="12"/>
      <c r="I304" s="13">
        <v>0</v>
      </c>
      <c r="J304" s="13">
        <v>1</v>
      </c>
      <c r="K304" s="14" t="str">
        <f>HYPERLINK("http://twitter.com","Twitter Web Client")</f>
        <v>Twitter Web Client</v>
      </c>
      <c r="L304" s="13">
        <v>47981</v>
      </c>
      <c r="M304" s="13">
        <v>14451</v>
      </c>
      <c r="N304" s="13">
        <v>623</v>
      </c>
      <c r="O304" s="15"/>
      <c r="P304" s="6">
        <v>39799.161666666667</v>
      </c>
      <c r="Q304" s="16" t="s">
        <v>125</v>
      </c>
      <c r="R304" s="17" t="s">
        <v>127</v>
      </c>
      <c r="S304" s="11" t="s">
        <v>128</v>
      </c>
      <c r="T304" s="12"/>
      <c r="U304" s="10" t="str">
        <f>HYPERLINK("https://pbs.twimg.com/profile_images/739091131011567616/GfKL7dJ1.jpg","View")</f>
        <v>View</v>
      </c>
    </row>
    <row r="305" spans="1:21" ht="61.2">
      <c r="A305" s="6">
        <v>43426.865648148145</v>
      </c>
      <c r="B305" s="7" t="str">
        <f>HYPERLINK("https://twitter.com/adbv","@adbv")</f>
        <v>@adbv</v>
      </c>
      <c r="C305" s="8" t="s">
        <v>925</v>
      </c>
      <c r="D305" s="9" t="s">
        <v>926</v>
      </c>
      <c r="E305" s="10" t="str">
        <f>HYPERLINK("https://twitter.com/adbv/status/1065693029716164614","1065693029716164614")</f>
        <v>1065693029716164614</v>
      </c>
      <c r="F305" s="11" t="s">
        <v>927</v>
      </c>
      <c r="G305" s="11" t="s">
        <v>928</v>
      </c>
      <c r="H305" s="12"/>
      <c r="I305" s="13">
        <v>0</v>
      </c>
      <c r="J305" s="13">
        <v>0</v>
      </c>
      <c r="K305" s="14" t="str">
        <f>HYPERLINK("http://twitter.com/download/android","Twitter for Android")</f>
        <v>Twitter for Android</v>
      </c>
      <c r="L305" s="13">
        <v>422</v>
      </c>
      <c r="M305" s="13">
        <v>729</v>
      </c>
      <c r="N305" s="13">
        <v>5</v>
      </c>
      <c r="O305" s="15"/>
      <c r="P305" s="6">
        <v>40077.994409722218</v>
      </c>
      <c r="Q305" s="12"/>
      <c r="R305" s="17" t="s">
        <v>929</v>
      </c>
      <c r="S305" s="12"/>
      <c r="T305" s="12"/>
      <c r="U305" s="10" t="str">
        <f>HYPERLINK("https://pbs.twimg.com/profile_images/897072666854739972/lWpzV20z.jpg","View")</f>
        <v>View</v>
      </c>
    </row>
    <row r="306" spans="1:21" ht="40.799999999999997">
      <c r="A306" s="6">
        <v>43426.861701388887</v>
      </c>
      <c r="B306" s="7" t="str">
        <f>HYPERLINK("https://twitter.com/mayroSR15","@mayroSR15")</f>
        <v>@mayroSR15</v>
      </c>
      <c r="C306" s="8" t="s">
        <v>930</v>
      </c>
      <c r="D306" s="9" t="s">
        <v>931</v>
      </c>
      <c r="E306" s="10" t="str">
        <f>HYPERLINK("https://twitter.com/mayroSR15/status/1065691599693406208","1065691599693406208")</f>
        <v>1065691599693406208</v>
      </c>
      <c r="F306" s="16" t="s">
        <v>932</v>
      </c>
      <c r="G306" s="11" t="s">
        <v>65</v>
      </c>
      <c r="H306" s="12"/>
      <c r="I306" s="13">
        <v>0</v>
      </c>
      <c r="J306" s="13">
        <v>0</v>
      </c>
      <c r="K306" s="14" t="str">
        <f>HYPERLINK("http://twitter.com","Twitter Web Client")</f>
        <v>Twitter Web Client</v>
      </c>
      <c r="L306" s="13">
        <v>213</v>
      </c>
      <c r="M306" s="13">
        <v>488</v>
      </c>
      <c r="N306" s="13">
        <v>5</v>
      </c>
      <c r="O306" s="15"/>
      <c r="P306" s="6">
        <v>41451.918136574073</v>
      </c>
      <c r="Q306" s="16" t="s">
        <v>933</v>
      </c>
      <c r="R306" s="17" t="s">
        <v>934</v>
      </c>
      <c r="S306" s="12"/>
      <c r="T306" s="12"/>
      <c r="U306" s="10" t="str">
        <f>HYPERLINK("https://pbs.twimg.com/profile_images/967853131110469633/zd4T1HWc.jpg","View")</f>
        <v>View</v>
      </c>
    </row>
    <row r="307" spans="1:21" ht="30.6">
      <c r="A307" s="6">
        <v>43426.860509259262</v>
      </c>
      <c r="B307" s="7" t="str">
        <f>HYPERLINK("https://twitter.com/saviscatalans","@saviscatalans")</f>
        <v>@saviscatalans</v>
      </c>
      <c r="C307" s="8" t="s">
        <v>1778</v>
      </c>
      <c r="D307" s="9" t="s">
        <v>1779</v>
      </c>
      <c r="E307" s="10" t="str">
        <f>HYPERLINK("https://twitter.com/saviscatalans/status/1065691166686044161","1065691166686044161")</f>
        <v>1065691166686044161</v>
      </c>
      <c r="F307" s="12"/>
      <c r="G307" s="11" t="s">
        <v>1780</v>
      </c>
      <c r="H307" s="12"/>
      <c r="I307" s="13">
        <v>7</v>
      </c>
      <c r="J307" s="13">
        <v>14</v>
      </c>
      <c r="K307" s="14" t="str">
        <f>HYPERLINK("http://twitter.com/download/iphone","Twitter for iPhone")</f>
        <v>Twitter for iPhone</v>
      </c>
      <c r="L307" s="13">
        <v>3052</v>
      </c>
      <c r="M307" s="13">
        <v>4994</v>
      </c>
      <c r="N307" s="13">
        <v>45</v>
      </c>
      <c r="O307" s="15"/>
      <c r="P307" s="6">
        <v>42563.385219907403</v>
      </c>
      <c r="Q307" s="16" t="s">
        <v>204</v>
      </c>
      <c r="R307" s="17" t="s">
        <v>1784</v>
      </c>
      <c r="S307" s="11" t="s">
        <v>1785</v>
      </c>
      <c r="T307" s="12"/>
      <c r="U307" s="10" t="str">
        <f>HYPERLINK("https://pbs.twimg.com/profile_images/928529795859787777/By-yD8Jp.jpg","View")</f>
        <v>View</v>
      </c>
    </row>
    <row r="308" spans="1:21" ht="30.6">
      <c r="A308" s="6">
        <v>43426.859340277777</v>
      </c>
      <c r="B308" s="7" t="str">
        <f>HYPERLINK("https://twitter.com/juanan_08","@juanan_08")</f>
        <v>@juanan_08</v>
      </c>
      <c r="C308" s="8" t="s">
        <v>1789</v>
      </c>
      <c r="D308" s="9" t="s">
        <v>1790</v>
      </c>
      <c r="E308" s="10" t="str">
        <f>HYPERLINK("https://twitter.com/juanan_08/status/1065690743174557696","1065690743174557696")</f>
        <v>1065690743174557696</v>
      </c>
      <c r="F308" s="12"/>
      <c r="G308" s="11" t="s">
        <v>1792</v>
      </c>
      <c r="H308" s="12"/>
      <c r="I308" s="13">
        <v>0</v>
      </c>
      <c r="J308" s="13">
        <v>1</v>
      </c>
      <c r="K308" s="14" t="str">
        <f t="shared" ref="K308:K310" si="63">HYPERLINK("http://twitter.com/download/android","Twitter for Android")</f>
        <v>Twitter for Android</v>
      </c>
      <c r="L308" s="13">
        <v>348</v>
      </c>
      <c r="M308" s="13">
        <v>565</v>
      </c>
      <c r="N308" s="13">
        <v>16</v>
      </c>
      <c r="O308" s="15"/>
      <c r="P308" s="6">
        <v>40276.442974537036</v>
      </c>
      <c r="Q308" s="12"/>
      <c r="R308" s="17" t="s">
        <v>1793</v>
      </c>
      <c r="S308" s="12"/>
      <c r="T308" s="12"/>
      <c r="U308" s="10" t="str">
        <f>HYPERLINK("https://pbs.twimg.com/profile_images/1028000411406491649/xOhdyLKe.jpg","View")</f>
        <v>View</v>
      </c>
    </row>
    <row r="309" spans="1:21" ht="30.6">
      <c r="A309" s="6">
        <v>43426.858888888892</v>
      </c>
      <c r="B309" s="7" t="str">
        <f>HYPERLINK("https://twitter.com/Carlos_Penafiel","@Carlos_Penafiel")</f>
        <v>@Carlos_Penafiel</v>
      </c>
      <c r="C309" s="8" t="s">
        <v>1794</v>
      </c>
      <c r="D309" s="9" t="s">
        <v>1465</v>
      </c>
      <c r="E309" s="10" t="str">
        <f>HYPERLINK("https://twitter.com/Carlos_Penafiel/status/1065690580599083008","1065690580599083008")</f>
        <v>1065690580599083008</v>
      </c>
      <c r="F309" s="11" t="s">
        <v>635</v>
      </c>
      <c r="G309" s="12"/>
      <c r="H309" s="12"/>
      <c r="I309" s="13">
        <v>0</v>
      </c>
      <c r="J309" s="13">
        <v>0</v>
      </c>
      <c r="K309" s="14" t="str">
        <f t="shared" si="63"/>
        <v>Twitter for Android</v>
      </c>
      <c r="L309" s="13">
        <v>1227</v>
      </c>
      <c r="M309" s="13">
        <v>1102</v>
      </c>
      <c r="N309" s="13">
        <v>68</v>
      </c>
      <c r="O309" s="15"/>
      <c r="P309" s="6">
        <v>40464.553935185184</v>
      </c>
      <c r="Q309" s="16" t="s">
        <v>1796</v>
      </c>
      <c r="R309" s="17" t="s">
        <v>1797</v>
      </c>
      <c r="S309" s="12"/>
      <c r="T309" s="12"/>
      <c r="U309" s="10" t="str">
        <f>HYPERLINK("https://pbs.twimg.com/profile_images/868059124835262464/qb-WRkXe.jpg","View")</f>
        <v>View</v>
      </c>
    </row>
    <row r="310" spans="1:21" ht="40.799999999999997">
      <c r="A310" s="6">
        <v>43426.857662037037</v>
      </c>
      <c r="B310" s="7" t="str">
        <f>HYPERLINK("https://twitter.com/RobertoSG1980","@RobertoSG1980")</f>
        <v>@RobertoSG1980</v>
      </c>
      <c r="C310" s="8" t="s">
        <v>935</v>
      </c>
      <c r="D310" s="9" t="s">
        <v>936</v>
      </c>
      <c r="E310" s="10" t="str">
        <f>HYPERLINK("https://twitter.com/RobertoSG1980/status/1065690137433133056","1065690137433133056")</f>
        <v>1065690137433133056</v>
      </c>
      <c r="F310" s="12"/>
      <c r="G310" s="11" t="s">
        <v>937</v>
      </c>
      <c r="H310" s="12"/>
      <c r="I310" s="13">
        <v>5</v>
      </c>
      <c r="J310" s="13">
        <v>3</v>
      </c>
      <c r="K310" s="14" t="str">
        <f t="shared" si="63"/>
        <v>Twitter for Android</v>
      </c>
      <c r="L310" s="13">
        <v>1202</v>
      </c>
      <c r="M310" s="13">
        <v>3923</v>
      </c>
      <c r="N310" s="13">
        <v>6</v>
      </c>
      <c r="O310" s="15"/>
      <c r="P310" s="6">
        <v>41100.079131944447</v>
      </c>
      <c r="Q310" s="12"/>
      <c r="R310" s="17" t="s">
        <v>938</v>
      </c>
      <c r="S310" s="12"/>
      <c r="T310" s="12"/>
      <c r="U310" s="10" t="str">
        <f>HYPERLINK("https://pbs.twimg.com/profile_images/1018645193673838598/y7tk6qPp.jpg","View")</f>
        <v>View</v>
      </c>
    </row>
    <row r="311" spans="1:21" ht="51">
      <c r="A311" s="6">
        <v>43426.854502314818</v>
      </c>
      <c r="B311" s="7" t="str">
        <f>HYPERLINK("https://twitter.com/CsRegionMurcia","@CsRegionMurcia")</f>
        <v>@CsRegionMurcia</v>
      </c>
      <c r="C311" s="8" t="s">
        <v>825</v>
      </c>
      <c r="D311" s="9" t="s">
        <v>939</v>
      </c>
      <c r="E311" s="10" t="str">
        <f>HYPERLINK("https://twitter.com/CsRegionMurcia/status/1065688991964499969","1065688991964499969")</f>
        <v>1065688991964499969</v>
      </c>
      <c r="F311" s="12"/>
      <c r="G311" s="11" t="s">
        <v>940</v>
      </c>
      <c r="H311" s="12"/>
      <c r="I311" s="13">
        <v>5</v>
      </c>
      <c r="J311" s="13">
        <v>6</v>
      </c>
      <c r="K311" s="14" t="str">
        <f>HYPERLINK("https://www.hootsuite.com","Hootsuite Inc.")</f>
        <v>Hootsuite Inc.</v>
      </c>
      <c r="L311" s="13">
        <v>6225</v>
      </c>
      <c r="M311" s="13">
        <v>1108</v>
      </c>
      <c r="N311" s="13">
        <v>96</v>
      </c>
      <c r="O311" s="18" t="s">
        <v>36</v>
      </c>
      <c r="P311" s="6">
        <v>40745.431666666671</v>
      </c>
      <c r="Q311" s="16" t="s">
        <v>832</v>
      </c>
      <c r="R311" s="17" t="s">
        <v>833</v>
      </c>
      <c r="S311" s="11" t="s">
        <v>473</v>
      </c>
      <c r="T311" s="12"/>
      <c r="U311" s="10" t="str">
        <f>HYPERLINK("https://pbs.twimg.com/profile_images/1053559144299614208/SFwaZPxU.jpg","View")</f>
        <v>View</v>
      </c>
    </row>
    <row r="312" spans="1:21" ht="30.6">
      <c r="A312" s="6">
        <v>43426.850671296299</v>
      </c>
      <c r="B312" s="7" t="str">
        <f>HYPERLINK("https://twitter.com/Lika_ink","@Lika_ink")</f>
        <v>@Lika_ink</v>
      </c>
      <c r="C312" s="8" t="s">
        <v>1804</v>
      </c>
      <c r="D312" s="9" t="s">
        <v>1805</v>
      </c>
      <c r="E312" s="10" t="str">
        <f>HYPERLINK("https://twitter.com/Lika_ink/status/1065687600047054849","1065687600047054849")</f>
        <v>1065687600047054849</v>
      </c>
      <c r="F312" s="12"/>
      <c r="G312" s="12"/>
      <c r="H312" s="12"/>
      <c r="I312" s="13">
        <v>0</v>
      </c>
      <c r="J312" s="13">
        <v>1</v>
      </c>
      <c r="K312" s="14" t="str">
        <f t="shared" ref="K312:K313" si="64">HYPERLINK("http://twitter.com","Twitter Web Client")</f>
        <v>Twitter Web Client</v>
      </c>
      <c r="L312" s="13">
        <v>165</v>
      </c>
      <c r="M312" s="13">
        <v>283</v>
      </c>
      <c r="N312" s="13">
        <v>3</v>
      </c>
      <c r="O312" s="15"/>
      <c r="P312" s="6">
        <v>40923.732465277775</v>
      </c>
      <c r="Q312" s="16" t="s">
        <v>1807</v>
      </c>
      <c r="R312" s="17" t="s">
        <v>1808</v>
      </c>
      <c r="S312" s="12"/>
      <c r="T312" s="12"/>
      <c r="U312" s="10" t="str">
        <f>HYPERLINK("https://pbs.twimg.com/profile_images/665974711256485888/QQynMv7O.jpg","View")</f>
        <v>View</v>
      </c>
    </row>
    <row r="313" spans="1:21" ht="40.799999999999997">
      <c r="A313" s="6">
        <v>43426.847881944443</v>
      </c>
      <c r="B313" s="7" t="str">
        <f>HYPERLINK("https://twitter.com/Nomaguanto","@Nomaguanto")</f>
        <v>@Nomaguanto</v>
      </c>
      <c r="C313" s="8" t="s">
        <v>1809</v>
      </c>
      <c r="D313" s="9" t="s">
        <v>1810</v>
      </c>
      <c r="E313" s="10" t="str">
        <f>HYPERLINK("https://twitter.com/Nomaguanto/status/1065686589332955136","1065686589332955136")</f>
        <v>1065686589332955136</v>
      </c>
      <c r="F313" s="11" t="s">
        <v>635</v>
      </c>
      <c r="G313" s="12"/>
      <c r="H313" s="12"/>
      <c r="I313" s="13">
        <v>0</v>
      </c>
      <c r="J313" s="13">
        <v>0</v>
      </c>
      <c r="K313" s="14" t="str">
        <f t="shared" si="64"/>
        <v>Twitter Web Client</v>
      </c>
      <c r="L313" s="13">
        <v>168</v>
      </c>
      <c r="M313" s="13">
        <v>394</v>
      </c>
      <c r="N313" s="13">
        <v>3</v>
      </c>
      <c r="O313" s="15"/>
      <c r="P313" s="6">
        <v>42971.902719907404</v>
      </c>
      <c r="Q313" s="12"/>
      <c r="R313" s="19"/>
      <c r="S313" s="12"/>
      <c r="T313" s="12"/>
      <c r="U313" s="10" t="str">
        <f>HYPERLINK("https://pbs.twimg.com/profile_images/900812464526426112/AGnqQXOK.jpg","View")</f>
        <v>View</v>
      </c>
    </row>
    <row r="314" spans="1:21" ht="40.799999999999997">
      <c r="A314" s="6">
        <v>43426.846851851849</v>
      </c>
      <c r="B314" s="7" t="str">
        <f>HYPERLINK("https://twitter.com/rosaroja1956","@rosaroja1956")</f>
        <v>@rosaroja1956</v>
      </c>
      <c r="C314" s="8" t="s">
        <v>941</v>
      </c>
      <c r="D314" s="9" t="s">
        <v>942</v>
      </c>
      <c r="E314" s="10" t="str">
        <f>HYPERLINK("https://twitter.com/rosaroja1956/status/1065686219852578816","1065686219852578816")</f>
        <v>1065686219852578816</v>
      </c>
      <c r="F314" s="12"/>
      <c r="G314" s="11" t="s">
        <v>943</v>
      </c>
      <c r="H314" s="12"/>
      <c r="I314" s="13">
        <v>0</v>
      </c>
      <c r="J314" s="13">
        <v>0</v>
      </c>
      <c r="K314" s="14" t="str">
        <f>HYPERLINK("http://twitter.com/download/iphone","Twitter for iPhone")</f>
        <v>Twitter for iPhone</v>
      </c>
      <c r="L314" s="13">
        <v>7435</v>
      </c>
      <c r="M314" s="13">
        <v>7410</v>
      </c>
      <c r="N314" s="13">
        <v>123</v>
      </c>
      <c r="O314" s="15"/>
      <c r="P314" s="6">
        <v>40578.857638888891</v>
      </c>
      <c r="Q314" s="16" t="s">
        <v>944</v>
      </c>
      <c r="R314" s="17" t="s">
        <v>945</v>
      </c>
      <c r="S314" s="11" t="s">
        <v>946</v>
      </c>
      <c r="T314" s="12"/>
      <c r="U314" s="10" t="str">
        <f>HYPERLINK("https://pbs.twimg.com/profile_images/1061694505043275777/GxGNHsxt.jpg","View")</f>
        <v>View</v>
      </c>
    </row>
    <row r="315" spans="1:21" ht="40.799999999999997">
      <c r="A315" s="6">
        <v>43426.845972222218</v>
      </c>
      <c r="B315" s="7" t="str">
        <f>HYPERLINK("https://twitter.com/jfarinos","@jfarinos")</f>
        <v>@jfarinos</v>
      </c>
      <c r="C315" s="8" t="s">
        <v>1816</v>
      </c>
      <c r="D315" s="9" t="s">
        <v>632</v>
      </c>
      <c r="E315" s="10" t="str">
        <f>HYPERLINK("https://twitter.com/jfarinos/status/1065685897709056002","1065685897709056002")</f>
        <v>1065685897709056002</v>
      </c>
      <c r="F315" s="11" t="s">
        <v>635</v>
      </c>
      <c r="G315" s="12"/>
      <c r="H315" s="12"/>
      <c r="I315" s="13">
        <v>0</v>
      </c>
      <c r="J315" s="13">
        <v>0</v>
      </c>
      <c r="K315" s="14" t="str">
        <f>HYPERLINK("http://twitter.com","Twitter Web Client")</f>
        <v>Twitter Web Client</v>
      </c>
      <c r="L315" s="13">
        <v>71</v>
      </c>
      <c r="M315" s="13">
        <v>147</v>
      </c>
      <c r="N315" s="13">
        <v>5</v>
      </c>
      <c r="O315" s="15"/>
      <c r="P315" s="6">
        <v>40562.490787037037</v>
      </c>
      <c r="Q315" s="16" t="s">
        <v>1819</v>
      </c>
      <c r="R315" s="17" t="s">
        <v>1820</v>
      </c>
      <c r="S315" s="11" t="s">
        <v>1821</v>
      </c>
      <c r="T315" s="12"/>
      <c r="U315" s="10" t="str">
        <f>HYPERLINK("https://pbs.twimg.com/profile_images/537044825816956928/QVEUwI9_.jpeg","View")</f>
        <v>View</v>
      </c>
    </row>
    <row r="316" spans="1:21" ht="40.799999999999997">
      <c r="A316" s="6">
        <v>43426.845243055555</v>
      </c>
      <c r="B316" s="7" t="str">
        <f>HYPERLINK("https://twitter.com/GranadaCnSusana","@GranadaCnSusana")</f>
        <v>@GranadaCnSusana</v>
      </c>
      <c r="C316" s="8" t="s">
        <v>1823</v>
      </c>
      <c r="D316" s="9" t="s">
        <v>1824</v>
      </c>
      <c r="E316" s="10" t="str">
        <f>HYPERLINK("https://twitter.com/GranadaCnSusana/status/1065685635133030401","1065685635133030401")</f>
        <v>1065685635133030401</v>
      </c>
      <c r="F316" s="12"/>
      <c r="G316" s="11" t="s">
        <v>1826</v>
      </c>
      <c r="H316" s="12"/>
      <c r="I316" s="13">
        <v>1</v>
      </c>
      <c r="J316" s="13">
        <v>0</v>
      </c>
      <c r="K316" s="14" t="str">
        <f t="shared" ref="K316:K317" si="65">HYPERLINK("https://ifttt.com","IFTTT")</f>
        <v>IFTTT</v>
      </c>
      <c r="L316" s="13">
        <v>1937</v>
      </c>
      <c r="M316" s="13">
        <v>1280</v>
      </c>
      <c r="N316" s="13">
        <v>17</v>
      </c>
      <c r="O316" s="15"/>
      <c r="P316" s="6">
        <v>42038.445960648147</v>
      </c>
      <c r="Q316" s="12"/>
      <c r="R316" s="17" t="s">
        <v>1827</v>
      </c>
      <c r="S316" s="12"/>
      <c r="T316" s="12"/>
      <c r="U316" s="10" t="str">
        <f>HYPERLINK("https://pbs.twimg.com/profile_images/867062818650152961/05wVQ27K.jpg","View")</f>
        <v>View</v>
      </c>
    </row>
    <row r="317" spans="1:21" ht="40.799999999999997">
      <c r="A317" s="6">
        <v>43426.844409722224</v>
      </c>
      <c r="B317" s="7" t="str">
        <f>HYPERLINK("https://twitter.com/GustavoHervas","@GustavoHervas")</f>
        <v>@GustavoHervas</v>
      </c>
      <c r="C317" s="8" t="s">
        <v>1830</v>
      </c>
      <c r="D317" s="9" t="s">
        <v>1824</v>
      </c>
      <c r="E317" s="10" t="str">
        <f>HYPERLINK("https://twitter.com/GustavoHervas/status/1065685334640472065","1065685334640472065")</f>
        <v>1065685334640472065</v>
      </c>
      <c r="F317" s="12"/>
      <c r="G317" s="11" t="s">
        <v>1826</v>
      </c>
      <c r="H317" s="12"/>
      <c r="I317" s="13">
        <v>0</v>
      </c>
      <c r="J317" s="13">
        <v>0</v>
      </c>
      <c r="K317" s="14" t="str">
        <f t="shared" si="65"/>
        <v>IFTTT</v>
      </c>
      <c r="L317" s="13">
        <v>3175</v>
      </c>
      <c r="M317" s="13">
        <v>892</v>
      </c>
      <c r="N317" s="13">
        <v>7</v>
      </c>
      <c r="O317" s="15"/>
      <c r="P317" s="6">
        <v>41333.983495370368</v>
      </c>
      <c r="Q317" s="16" t="s">
        <v>181</v>
      </c>
      <c r="R317" s="17" t="s">
        <v>1831</v>
      </c>
      <c r="S317" s="12"/>
      <c r="T317" s="12"/>
      <c r="U317" s="10" t="str">
        <f>HYPERLINK("https://pbs.twimg.com/profile_images/456084345875628035/MgW52-4R.jpeg","View")</f>
        <v>View</v>
      </c>
    </row>
    <row r="318" spans="1:21" ht="102">
      <c r="A318" s="6">
        <v>43426.843668981484</v>
      </c>
      <c r="B318" s="7" t="str">
        <f>HYPERLINK("https://twitter.com/GasparGallego","@GasparGallego")</f>
        <v>@GasparGallego</v>
      </c>
      <c r="C318" s="8" t="s">
        <v>947</v>
      </c>
      <c r="D318" s="9" t="s">
        <v>948</v>
      </c>
      <c r="E318" s="10" t="str">
        <f>HYPERLINK("https://twitter.com/GasparGallego/status/1065685066305716225","1065685066305716225")</f>
        <v>1065685066305716225</v>
      </c>
      <c r="F318" s="16" t="s">
        <v>949</v>
      </c>
      <c r="G318" s="12"/>
      <c r="H318" s="12"/>
      <c r="I318" s="13">
        <v>0</v>
      </c>
      <c r="J318" s="13">
        <v>0</v>
      </c>
      <c r="K318" s="14" t="str">
        <f>HYPERLINK("http://twitter.com","Twitter Web Client")</f>
        <v>Twitter Web Client</v>
      </c>
      <c r="L318" s="13">
        <v>2189</v>
      </c>
      <c r="M318" s="13">
        <v>2654</v>
      </c>
      <c r="N318" s="13">
        <v>0</v>
      </c>
      <c r="O318" s="15"/>
      <c r="P318" s="6">
        <v>40329.573298611111</v>
      </c>
      <c r="Q318" s="12"/>
      <c r="R318" s="17" t="s">
        <v>950</v>
      </c>
      <c r="S318" s="12"/>
      <c r="T318" s="12"/>
      <c r="U318" s="10" t="str">
        <f>HYPERLINK("https://pbs.twimg.com/profile_images/934176835998568448/5RoXWjBN.jpg","View")</f>
        <v>View</v>
      </c>
    </row>
    <row r="319" spans="1:21" ht="20.399999999999999">
      <c r="A319" s="6">
        <v>43426.84274305556</v>
      </c>
      <c r="B319" s="7" t="str">
        <f>HYPERLINK("https://twitter.com/Eurocops1","@Eurocops1")</f>
        <v>@Eurocops1</v>
      </c>
      <c r="C319" s="8" t="s">
        <v>1839</v>
      </c>
      <c r="D319" s="9" t="s">
        <v>632</v>
      </c>
      <c r="E319" s="10" t="str">
        <f>HYPERLINK("https://twitter.com/Eurocops1/status/1065684727103975424","1065684727103975424")</f>
        <v>1065684727103975424</v>
      </c>
      <c r="F319" s="11" t="s">
        <v>635</v>
      </c>
      <c r="G319" s="12"/>
      <c r="H319" s="12"/>
      <c r="I319" s="13">
        <v>1</v>
      </c>
      <c r="J319" s="13">
        <v>1</v>
      </c>
      <c r="K319" s="14" t="str">
        <f t="shared" ref="K319:K320" si="66">HYPERLINK("http://twitter.com/download/android","Twitter for Android")</f>
        <v>Twitter for Android</v>
      </c>
      <c r="L319" s="13">
        <v>6856</v>
      </c>
      <c r="M319" s="13">
        <v>382</v>
      </c>
      <c r="N319" s="13">
        <v>53</v>
      </c>
      <c r="O319" s="15"/>
      <c r="P319" s="6">
        <v>41597.741087962961</v>
      </c>
      <c r="Q319" s="12"/>
      <c r="R319" s="17" t="s">
        <v>1841</v>
      </c>
      <c r="S319" s="11" t="s">
        <v>1842</v>
      </c>
      <c r="T319" s="12"/>
      <c r="U319" s="10" t="str">
        <f>HYPERLINK("https://pbs.twimg.com/profile_images/681115585791569920/y68c_EIo.jpg","View")</f>
        <v>View</v>
      </c>
    </row>
    <row r="320" spans="1:21" ht="40.799999999999997">
      <c r="A320" s="6">
        <v>43426.839421296296</v>
      </c>
      <c r="B320" s="7" t="str">
        <f>HYPERLINK("https://twitter.com/juluniver","@juluniver")</f>
        <v>@juluniver</v>
      </c>
      <c r="C320" s="8" t="s">
        <v>368</v>
      </c>
      <c r="D320" s="9" t="s">
        <v>951</v>
      </c>
      <c r="E320" s="10" t="str">
        <f>HYPERLINK("https://twitter.com/juluniver/status/1065683523204513792","1065683523204513792")</f>
        <v>1065683523204513792</v>
      </c>
      <c r="F320" s="11" t="s">
        <v>952</v>
      </c>
      <c r="G320" s="12"/>
      <c r="H320" s="12"/>
      <c r="I320" s="13">
        <v>0</v>
      </c>
      <c r="J320" s="13">
        <v>0</v>
      </c>
      <c r="K320" s="14" t="str">
        <f t="shared" si="66"/>
        <v>Twitter for Android</v>
      </c>
      <c r="L320" s="13">
        <v>143</v>
      </c>
      <c r="M320" s="13">
        <v>91</v>
      </c>
      <c r="N320" s="13">
        <v>2</v>
      </c>
      <c r="O320" s="15"/>
      <c r="P320" s="6">
        <v>42166.543541666666</v>
      </c>
      <c r="Q320" s="16" t="s">
        <v>371</v>
      </c>
      <c r="R320" s="17" t="s">
        <v>372</v>
      </c>
      <c r="S320" s="12"/>
      <c r="T320" s="12"/>
      <c r="U320" s="10" t="str">
        <f>HYPERLINK("https://pbs.twimg.com/profile_images/847880241892777992/Krxx7fp-.jpg","View")</f>
        <v>View</v>
      </c>
    </row>
    <row r="321" spans="1:21" ht="40.799999999999997">
      <c r="A321" s="6">
        <v>43426.836724537032</v>
      </c>
      <c r="B321" s="7" t="str">
        <f>HYPERLINK("https://twitter.com/fernandollopis","@fernandollopis")</f>
        <v>@fernandollopis</v>
      </c>
      <c r="C321" s="8" t="s">
        <v>953</v>
      </c>
      <c r="D321" s="9" t="s">
        <v>954</v>
      </c>
      <c r="E321" s="10" t="str">
        <f>HYPERLINK("https://twitter.com/fernandollopis/status/1065682547844268032","1065682547844268032")</f>
        <v>1065682547844268032</v>
      </c>
      <c r="F321" s="11" t="s">
        <v>635</v>
      </c>
      <c r="G321" s="12"/>
      <c r="H321" s="12"/>
      <c r="I321" s="13">
        <v>1</v>
      </c>
      <c r="J321" s="13">
        <v>5</v>
      </c>
      <c r="K321" s="14" t="str">
        <f>HYPERLINK("http://twitter.com/#!/download/ipad","Twitter for iPad")</f>
        <v>Twitter for iPad</v>
      </c>
      <c r="L321" s="13">
        <v>4546</v>
      </c>
      <c r="M321" s="13">
        <v>2433</v>
      </c>
      <c r="N321" s="13">
        <v>114</v>
      </c>
      <c r="O321" s="15"/>
      <c r="P321" s="6">
        <v>40372.032060185185</v>
      </c>
      <c r="Q321" s="16" t="s">
        <v>955</v>
      </c>
      <c r="R321" s="17" t="s">
        <v>956</v>
      </c>
      <c r="S321" s="11" t="s">
        <v>957</v>
      </c>
      <c r="T321" s="12"/>
      <c r="U321" s="10" t="str">
        <f>HYPERLINK("https://pbs.twimg.com/profile_images/822039622071029761/eOTiqkL9.jpg","View")</f>
        <v>View</v>
      </c>
    </row>
    <row r="322" spans="1:21" ht="30.6">
      <c r="A322" s="6">
        <v>43426.835497685184</v>
      </c>
      <c r="B322" s="7" t="str">
        <f>HYPERLINK("https://twitter.com/lugaresi14","@lugaresi14")</f>
        <v>@lugaresi14</v>
      </c>
      <c r="C322" s="8" t="s">
        <v>958</v>
      </c>
      <c r="D322" s="9" t="s">
        <v>959</v>
      </c>
      <c r="E322" s="10" t="str">
        <f>HYPERLINK("https://twitter.com/lugaresi14/status/1065682101662568451","1065682101662568451")</f>
        <v>1065682101662568451</v>
      </c>
      <c r="F322" s="12"/>
      <c r="G322" s="12"/>
      <c r="H322" s="12"/>
      <c r="I322" s="13">
        <v>1</v>
      </c>
      <c r="J322" s="13">
        <v>0</v>
      </c>
      <c r="K322" s="14" t="str">
        <f t="shared" ref="K322:K325" si="67">HYPERLINK("http://twitter.com/download/android","Twitter for Android")</f>
        <v>Twitter for Android</v>
      </c>
      <c r="L322" s="13">
        <v>175</v>
      </c>
      <c r="M322" s="13">
        <v>529</v>
      </c>
      <c r="N322" s="13">
        <v>3</v>
      </c>
      <c r="O322" s="15"/>
      <c r="P322" s="6">
        <v>40622.683194444442</v>
      </c>
      <c r="Q322" s="12"/>
      <c r="R322" s="17" t="s">
        <v>960</v>
      </c>
      <c r="S322" s="12"/>
      <c r="T322" s="12"/>
      <c r="U322" s="10" t="str">
        <f>HYPERLINK("https://pbs.twimg.com/profile_images/501664524651728896/E8GOipei.jpeg","View")</f>
        <v>View</v>
      </c>
    </row>
    <row r="323" spans="1:21" ht="71.400000000000006">
      <c r="A323" s="6">
        <v>43426.834166666667</v>
      </c>
      <c r="B323" s="7" t="str">
        <f>HYPERLINK("https://twitter.com/_InakiLopez_","@_InakiLopez_")</f>
        <v>@_InakiLopez_</v>
      </c>
      <c r="C323" s="8" t="s">
        <v>667</v>
      </c>
      <c r="D323" s="9" t="s">
        <v>961</v>
      </c>
      <c r="E323" s="10" t="str">
        <f>HYPERLINK("https://twitter.com/_InakiLopez_/status/1065681621574144000","1065681621574144000")</f>
        <v>1065681621574144000</v>
      </c>
      <c r="F323" s="11" t="s">
        <v>962</v>
      </c>
      <c r="G323" s="11" t="s">
        <v>963</v>
      </c>
      <c r="H323" s="12"/>
      <c r="I323" s="13">
        <v>3</v>
      </c>
      <c r="J323" s="13">
        <v>7</v>
      </c>
      <c r="K323" s="14" t="str">
        <f t="shared" si="67"/>
        <v>Twitter for Android</v>
      </c>
      <c r="L323" s="13">
        <v>85146</v>
      </c>
      <c r="M323" s="13">
        <v>1650</v>
      </c>
      <c r="N323" s="13">
        <v>747</v>
      </c>
      <c r="O323" s="18" t="s">
        <v>36</v>
      </c>
      <c r="P323" s="6">
        <v>41355.804861111115</v>
      </c>
      <c r="Q323" s="12"/>
      <c r="R323" s="17" t="s">
        <v>669</v>
      </c>
      <c r="S323" s="12"/>
      <c r="T323" s="12"/>
      <c r="U323" s="10" t="str">
        <f>HYPERLINK("https://pbs.twimg.com/profile_images/378800000760937591/cd9aae8be022a1cff7d440b2e9b4ba95.jpeg","View")</f>
        <v>View</v>
      </c>
    </row>
    <row r="324" spans="1:21" ht="30.6">
      <c r="A324" s="6">
        <v>43426.833275462966</v>
      </c>
      <c r="B324" s="7" t="str">
        <f>HYPERLINK("https://twitter.com/carlosj90vk","@carlosj90vk")</f>
        <v>@carlosj90vk</v>
      </c>
      <c r="C324" s="8" t="s">
        <v>1858</v>
      </c>
      <c r="D324" s="9" t="s">
        <v>1859</v>
      </c>
      <c r="E324" s="10" t="str">
        <f>HYPERLINK("https://twitter.com/carlosj90vk/status/1065681297664864256","1065681297664864256")</f>
        <v>1065681297664864256</v>
      </c>
      <c r="F324" s="12"/>
      <c r="G324" s="12"/>
      <c r="H324" s="12"/>
      <c r="I324" s="13">
        <v>0</v>
      </c>
      <c r="J324" s="13">
        <v>0</v>
      </c>
      <c r="K324" s="14" t="str">
        <f t="shared" si="67"/>
        <v>Twitter for Android</v>
      </c>
      <c r="L324" s="13">
        <v>617</v>
      </c>
      <c r="M324" s="13">
        <v>1543</v>
      </c>
      <c r="N324" s="13">
        <v>11</v>
      </c>
      <c r="O324" s="15"/>
      <c r="P324" s="6">
        <v>41341.778796296298</v>
      </c>
      <c r="Q324" s="12"/>
      <c r="R324" s="17" t="s">
        <v>1861</v>
      </c>
      <c r="S324" s="12"/>
      <c r="T324" s="12"/>
      <c r="U324" s="10" t="str">
        <f>HYPERLINK("https://pbs.twimg.com/profile_images/1031673304959082497/UMnr31H0.jpg","View")</f>
        <v>View</v>
      </c>
    </row>
    <row r="325" spans="1:21" ht="30.6">
      <c r="A325" s="6">
        <v>43426.830324074079</v>
      </c>
      <c r="B325" s="7" t="str">
        <f>HYPERLINK("https://twitter.com/DARSENA1","@DARSENA1")</f>
        <v>@DARSENA1</v>
      </c>
      <c r="C325" s="8" t="s">
        <v>1862</v>
      </c>
      <c r="D325" s="9" t="s">
        <v>1863</v>
      </c>
      <c r="E325" s="10" t="str">
        <f>HYPERLINK("https://twitter.com/DARSENA1/status/1065680227991502848","1065680227991502848")</f>
        <v>1065680227991502848</v>
      </c>
      <c r="F325" s="11" t="s">
        <v>1864</v>
      </c>
      <c r="G325" s="12"/>
      <c r="H325" s="12"/>
      <c r="I325" s="13">
        <v>0</v>
      </c>
      <c r="J325" s="13">
        <v>0</v>
      </c>
      <c r="K325" s="14" t="str">
        <f t="shared" si="67"/>
        <v>Twitter for Android</v>
      </c>
      <c r="L325" s="13">
        <v>633</v>
      </c>
      <c r="M325" s="13">
        <v>1844</v>
      </c>
      <c r="N325" s="13">
        <v>25</v>
      </c>
      <c r="O325" s="15"/>
      <c r="P325" s="6">
        <v>40920.982581018521</v>
      </c>
      <c r="Q325" s="12"/>
      <c r="R325" s="19"/>
      <c r="S325" s="12"/>
      <c r="T325" s="12"/>
      <c r="U325" s="10" t="str">
        <f>HYPERLINK("https://pbs.twimg.com/profile_images/3222030283/066a7a370bf2fb0cadc3cf49bfda7cf0.jpeg","View")</f>
        <v>View</v>
      </c>
    </row>
    <row r="326" spans="1:21" ht="20.399999999999999">
      <c r="A326" s="6">
        <v>43426.83011574074</v>
      </c>
      <c r="B326" s="7" t="str">
        <f>HYPERLINK("https://twitter.com/Amadeu_Juando","@Amadeu_Juando")</f>
        <v>@Amadeu_Juando</v>
      </c>
      <c r="C326" s="8" t="s">
        <v>1867</v>
      </c>
      <c r="D326" s="9" t="s">
        <v>1509</v>
      </c>
      <c r="E326" s="10" t="str">
        <f>HYPERLINK("https://twitter.com/Amadeu_Juando/status/1065680153089662976","1065680153089662976")</f>
        <v>1065680153089662976</v>
      </c>
      <c r="F326" s="11" t="s">
        <v>1510</v>
      </c>
      <c r="G326" s="12"/>
      <c r="H326" s="12"/>
      <c r="I326" s="13">
        <v>0</v>
      </c>
      <c r="J326" s="13">
        <v>0</v>
      </c>
      <c r="K326" s="14" t="str">
        <f>HYPERLINK("http://www.facebook.com/twitter","Facebook")</f>
        <v>Facebook</v>
      </c>
      <c r="L326" s="13">
        <v>831</v>
      </c>
      <c r="M326" s="13">
        <v>192</v>
      </c>
      <c r="N326" s="13">
        <v>12</v>
      </c>
      <c r="O326" s="15"/>
      <c r="P326" s="6">
        <v>40527.38726851852</v>
      </c>
      <c r="Q326" s="16" t="s">
        <v>1872</v>
      </c>
      <c r="R326" s="17" t="s">
        <v>1873</v>
      </c>
      <c r="S326" s="12"/>
      <c r="T326" s="12"/>
      <c r="U326" s="10" t="str">
        <f>HYPERLINK("https://pbs.twimg.com/profile_images/1058467662391635968/bsFckZFQ.jpg","View")</f>
        <v>View</v>
      </c>
    </row>
    <row r="327" spans="1:21" ht="51">
      <c r="A327" s="6">
        <v>43426.827962962961</v>
      </c>
      <c r="B327" s="7" t="str">
        <f>HYPERLINK("https://twitter.com/jjiggnacio","@jjiggnacio")</f>
        <v>@jjiggnacio</v>
      </c>
      <c r="C327" s="8" t="s">
        <v>964</v>
      </c>
      <c r="D327" s="9" t="s">
        <v>965</v>
      </c>
      <c r="E327" s="10" t="str">
        <f>HYPERLINK("https://twitter.com/jjiggnacio/status/1065679374844866560","1065679374844866560")</f>
        <v>1065679374844866560</v>
      </c>
      <c r="F327" s="11" t="s">
        <v>966</v>
      </c>
      <c r="G327" s="11" t="s">
        <v>967</v>
      </c>
      <c r="H327" s="12"/>
      <c r="I327" s="13">
        <v>0</v>
      </c>
      <c r="J327" s="13">
        <v>0</v>
      </c>
      <c r="K327" s="14" t="str">
        <f>HYPERLINK("http://twitter.com/download/android","Twitter for Android")</f>
        <v>Twitter for Android</v>
      </c>
      <c r="L327" s="13">
        <v>214</v>
      </c>
      <c r="M327" s="13">
        <v>889</v>
      </c>
      <c r="N327" s="13">
        <v>2</v>
      </c>
      <c r="O327" s="15"/>
      <c r="P327" s="6">
        <v>40680.982118055559</v>
      </c>
      <c r="Q327" s="12"/>
      <c r="R327" s="17" t="s">
        <v>968</v>
      </c>
      <c r="S327" s="12"/>
      <c r="T327" s="12"/>
      <c r="U327" s="10" t="str">
        <f>HYPERLINK("https://pbs.twimg.com/profile_images/669598574632652801/cOjH1TYu.jpg","View")</f>
        <v>View</v>
      </c>
    </row>
    <row r="328" spans="1:21" ht="51">
      <c r="A328" s="6">
        <v>43426.825532407413</v>
      </c>
      <c r="B328" s="7" t="str">
        <f>HYPERLINK("https://twitter.com/Alberto_Gomez","@Alberto_Gomez")</f>
        <v>@Alberto_Gomez</v>
      </c>
      <c r="C328" s="8" t="s">
        <v>1881</v>
      </c>
      <c r="D328" s="9" t="s">
        <v>1882</v>
      </c>
      <c r="E328" s="10" t="str">
        <f>HYPERLINK("https://twitter.com/Alberto_Gomez/status/1065678490173931525","1065678490173931525")</f>
        <v>1065678490173931525</v>
      </c>
      <c r="F328" s="11" t="s">
        <v>635</v>
      </c>
      <c r="G328" s="12"/>
      <c r="H328" s="12"/>
      <c r="I328" s="13">
        <v>0</v>
      </c>
      <c r="J328" s="13">
        <v>0</v>
      </c>
      <c r="K328" s="14" t="str">
        <f>HYPERLINK("http://twitter.com","Twitter Web Client")</f>
        <v>Twitter Web Client</v>
      </c>
      <c r="L328" s="13">
        <v>980</v>
      </c>
      <c r="M328" s="13">
        <v>978</v>
      </c>
      <c r="N328" s="13">
        <v>24</v>
      </c>
      <c r="O328" s="15"/>
      <c r="P328" s="6">
        <v>39825.497094907405</v>
      </c>
      <c r="Q328" s="12"/>
      <c r="R328" s="17" t="s">
        <v>1886</v>
      </c>
      <c r="S328" s="11" t="s">
        <v>1887</v>
      </c>
      <c r="T328" s="12"/>
      <c r="U328" s="10" t="str">
        <f>HYPERLINK("https://pbs.twimg.com/profile_images/2298118940/n1syq3j6iuo4xayioaxj.jpeg","View")</f>
        <v>View</v>
      </c>
    </row>
    <row r="329" spans="1:21" ht="30.6">
      <c r="A329" s="6">
        <v>43426.823194444441</v>
      </c>
      <c r="B329" s="7" t="str">
        <f>HYPERLINK("https://twitter.com/prensafresca","@prensafresca")</f>
        <v>@prensafresca</v>
      </c>
      <c r="C329" s="8" t="s">
        <v>1890</v>
      </c>
      <c r="D329" s="9" t="s">
        <v>1465</v>
      </c>
      <c r="E329" s="10" t="str">
        <f>HYPERLINK("https://twitter.com/prensafresca/status/1065677643843014656","1065677643843014656")</f>
        <v>1065677643843014656</v>
      </c>
      <c r="F329" s="11" t="s">
        <v>1892</v>
      </c>
      <c r="G329" s="12"/>
      <c r="H329" s="12"/>
      <c r="I329" s="13">
        <v>5</v>
      </c>
      <c r="J329" s="13">
        <v>4</v>
      </c>
      <c r="K329" s="14" t="str">
        <f>HYPERLINK("http://notAWebYet.com","Tuitulares_v2")</f>
        <v>Tuitulares_v2</v>
      </c>
      <c r="L329" s="13">
        <v>3928</v>
      </c>
      <c r="M329" s="13">
        <v>2611</v>
      </c>
      <c r="N329" s="13">
        <v>85</v>
      </c>
      <c r="O329" s="15"/>
      <c r="P329" s="6">
        <v>42414.68813657407</v>
      </c>
      <c r="Q329" s="12"/>
      <c r="R329" s="17" t="s">
        <v>1894</v>
      </c>
      <c r="S329" s="12"/>
      <c r="T329" s="12"/>
      <c r="U329" s="10" t="str">
        <f>HYPERLINK("https://pbs.twimg.com/profile_images/712044672676397058/2n9qvNh2.jpg","View")</f>
        <v>View</v>
      </c>
    </row>
    <row r="330" spans="1:21" ht="20.399999999999999">
      <c r="A330" s="6">
        <v>43426.822893518518</v>
      </c>
      <c r="B330" s="7" t="str">
        <f>HYPERLINK("https://twitter.com/JOASDASA","@JOASDASA")</f>
        <v>@JOASDASA</v>
      </c>
      <c r="C330" s="8" t="s">
        <v>1895</v>
      </c>
      <c r="D330" s="9" t="s">
        <v>632</v>
      </c>
      <c r="E330" s="10" t="str">
        <f>HYPERLINK("https://twitter.com/JOASDASA/status/1065677537299390464","1065677537299390464")</f>
        <v>1065677537299390464</v>
      </c>
      <c r="F330" s="11" t="s">
        <v>635</v>
      </c>
      <c r="G330" s="12"/>
      <c r="H330" s="12"/>
      <c r="I330" s="13">
        <v>0</v>
      </c>
      <c r="J330" s="13">
        <v>0</v>
      </c>
      <c r="K330" s="14" t="str">
        <f>HYPERLINK("http://twitter.com","Twitter Web Client")</f>
        <v>Twitter Web Client</v>
      </c>
      <c r="L330" s="13">
        <v>32</v>
      </c>
      <c r="M330" s="13">
        <v>63</v>
      </c>
      <c r="N330" s="13">
        <v>0</v>
      </c>
      <c r="O330" s="15"/>
      <c r="P330" s="6">
        <v>42397.246550925927</v>
      </c>
      <c r="Q330" s="12"/>
      <c r="R330" s="19"/>
      <c r="S330" s="12"/>
      <c r="T330" s="12"/>
      <c r="U330" s="10" t="str">
        <f>HYPERLINK("https://pbs.twimg.com/profile_images/981929274180554754/NYqTbFpR.jpg","View")</f>
        <v>View</v>
      </c>
    </row>
    <row r="331" spans="1:21" ht="30.6">
      <c r="A331" s="6">
        <v>43426.821909722217</v>
      </c>
      <c r="B331" s="7" t="str">
        <f>HYPERLINK("https://twitter.com/NoticieroUniv","@NoticieroUniv")</f>
        <v>@NoticieroUniv</v>
      </c>
      <c r="C331" s="8" t="s">
        <v>1899</v>
      </c>
      <c r="D331" s="9" t="s">
        <v>1900</v>
      </c>
      <c r="E331" s="10" t="str">
        <f>HYPERLINK("https://twitter.com/NoticieroUniv/status/1065677180057853953","1065677180057853953")</f>
        <v>1065677180057853953</v>
      </c>
      <c r="F331" s="11" t="s">
        <v>1903</v>
      </c>
      <c r="G331" s="12"/>
      <c r="H331" s="12"/>
      <c r="I331" s="13">
        <v>0</v>
      </c>
      <c r="J331" s="13">
        <v>0</v>
      </c>
      <c r="K331" s="14" t="str">
        <f>HYPERLINK("https://noticierouniversal.com/","NoticieroUniversal")</f>
        <v>NoticieroUniversal</v>
      </c>
      <c r="L331" s="13">
        <v>1080</v>
      </c>
      <c r="M331" s="13">
        <v>36</v>
      </c>
      <c r="N331" s="13">
        <v>21</v>
      </c>
      <c r="O331" s="15"/>
      <c r="P331" s="6">
        <v>42402.547939814816</v>
      </c>
      <c r="Q331" s="16" t="s">
        <v>207</v>
      </c>
      <c r="R331" s="17" t="s">
        <v>1906</v>
      </c>
      <c r="S331" s="11" t="s">
        <v>1907</v>
      </c>
      <c r="T331" s="12"/>
      <c r="U331" s="10" t="str">
        <f>HYPERLINK("https://pbs.twimg.com/profile_images/719648419925594113/OnR0XNMn.jpg","View")</f>
        <v>View</v>
      </c>
    </row>
    <row r="332" spans="1:21" ht="30.6">
      <c r="A332" s="6">
        <v>43426.821550925924</v>
      </c>
      <c r="B332" s="7" t="str">
        <f>HYPERLINK("https://twitter.com/Josegonsan","@Josegonsan")</f>
        <v>@Josegonsan</v>
      </c>
      <c r="C332" s="8" t="s">
        <v>112</v>
      </c>
      <c r="D332" s="9" t="s">
        <v>1911</v>
      </c>
      <c r="E332" s="10" t="str">
        <f>HYPERLINK("https://twitter.com/Josegonsan/status/1065677047996080128","1065677047996080128")</f>
        <v>1065677047996080128</v>
      </c>
      <c r="F332" s="12"/>
      <c r="G332" s="12"/>
      <c r="H332" s="12"/>
      <c r="I332" s="13">
        <v>0</v>
      </c>
      <c r="J332" s="13">
        <v>0</v>
      </c>
      <c r="K332" s="14" t="str">
        <f>HYPERLINK("http://twitter.com/download/android","Twitter for Android")</f>
        <v>Twitter for Android</v>
      </c>
      <c r="L332" s="13">
        <v>23</v>
      </c>
      <c r="M332" s="13">
        <v>117</v>
      </c>
      <c r="N332" s="13">
        <v>0</v>
      </c>
      <c r="O332" s="15"/>
      <c r="P332" s="6">
        <v>42171.603854166664</v>
      </c>
      <c r="Q332" s="16" t="s">
        <v>116</v>
      </c>
      <c r="R332" s="19"/>
      <c r="S332" s="12"/>
      <c r="T332" s="12"/>
      <c r="U332" s="10" t="str">
        <f>HYPERLINK("https://pbs.twimg.com/profile_images/613410644201721857/9uDgGBog.jpg","View")</f>
        <v>View</v>
      </c>
    </row>
    <row r="333" spans="1:21" ht="40.799999999999997">
      <c r="A333" s="6">
        <v>43426.820925925931</v>
      </c>
      <c r="B333" s="7" t="str">
        <f>HYPERLINK("https://twitter.com/BYCHEMAOLMEDO","@BYCHEMAOLMEDO")</f>
        <v>@BYCHEMAOLMEDO</v>
      </c>
      <c r="C333" s="8" t="s">
        <v>1913</v>
      </c>
      <c r="D333" s="9" t="s">
        <v>1465</v>
      </c>
      <c r="E333" s="10" t="str">
        <f>HYPERLINK("https://twitter.com/BYCHEMAOLMEDO/status/1065676821797240832","1065676821797240832")</f>
        <v>1065676821797240832</v>
      </c>
      <c r="F333" s="11" t="s">
        <v>635</v>
      </c>
      <c r="G333" s="12"/>
      <c r="H333" s="12"/>
      <c r="I333" s="13">
        <v>0</v>
      </c>
      <c r="J333" s="13">
        <v>0</v>
      </c>
      <c r="K333" s="14" t="str">
        <f>HYPERLINK("https://paper.li","Paper.li")</f>
        <v>Paper.li</v>
      </c>
      <c r="L333" s="13">
        <v>15681</v>
      </c>
      <c r="M333" s="13">
        <v>23630</v>
      </c>
      <c r="N333" s="13">
        <v>240</v>
      </c>
      <c r="O333" s="15"/>
      <c r="P333" s="6">
        <v>40765.070937500001</v>
      </c>
      <c r="Q333" s="16" t="s">
        <v>1914</v>
      </c>
      <c r="R333" s="17" t="s">
        <v>1915</v>
      </c>
      <c r="S333" s="11" t="s">
        <v>1916</v>
      </c>
      <c r="T333" s="12"/>
      <c r="U333" s="10" t="str">
        <f>HYPERLINK("https://pbs.twimg.com/profile_images/914537202406871040/dv9_5lRf.jpg","View")</f>
        <v>View</v>
      </c>
    </row>
    <row r="334" spans="1:21" ht="30.6">
      <c r="A334" s="6">
        <v>43426.819178240738</v>
      </c>
      <c r="B334" s="7" t="str">
        <f>HYPERLINK("https://twitter.com/rafaelwv","@rafaelwv")</f>
        <v>@rafaelwv</v>
      </c>
      <c r="C334" s="8" t="s">
        <v>1920</v>
      </c>
      <c r="D334" s="9" t="s">
        <v>1921</v>
      </c>
      <c r="E334" s="10" t="str">
        <f>HYPERLINK("https://twitter.com/rafaelwv/status/1065676188385972229","1065676188385972229")</f>
        <v>1065676188385972229</v>
      </c>
      <c r="F334" s="11" t="s">
        <v>1922</v>
      </c>
      <c r="G334" s="12"/>
      <c r="H334" s="12"/>
      <c r="I334" s="13">
        <v>0</v>
      </c>
      <c r="J334" s="13">
        <v>0</v>
      </c>
      <c r="K334" s="14" t="str">
        <f>HYPERLINK("https://www.google.com/","Google")</f>
        <v>Google</v>
      </c>
      <c r="L334" s="13">
        <v>1130</v>
      </c>
      <c r="M334" s="13">
        <v>1138</v>
      </c>
      <c r="N334" s="13">
        <v>97</v>
      </c>
      <c r="O334" s="15"/>
      <c r="P334" s="6">
        <v>39645.825613425928</v>
      </c>
      <c r="Q334" s="16" t="s">
        <v>1923</v>
      </c>
      <c r="R334" s="17" t="s">
        <v>1924</v>
      </c>
      <c r="S334" s="11" t="s">
        <v>1925</v>
      </c>
      <c r="T334" s="12"/>
      <c r="U334" s="10" t="str">
        <f>HYPERLINK("https://pbs.twimg.com/profile_images/1019645788748701696/aEVGfEdJ.jpg","View")</f>
        <v>View</v>
      </c>
    </row>
    <row r="335" spans="1:21" ht="40.799999999999997">
      <c r="A335" s="6">
        <v>43426.818888888884</v>
      </c>
      <c r="B335" s="7" t="str">
        <f>HYPERLINK("https://twitter.com/dickie825","@dickie825")</f>
        <v>@dickie825</v>
      </c>
      <c r="C335" s="8" t="s">
        <v>1489</v>
      </c>
      <c r="D335" s="9" t="s">
        <v>1490</v>
      </c>
      <c r="E335" s="10" t="str">
        <f>HYPERLINK("https://twitter.com/dickie825/status/1065676085885493249","1065676085885493249")</f>
        <v>1065676085885493249</v>
      </c>
      <c r="F335" s="11" t="s">
        <v>1929</v>
      </c>
      <c r="G335" s="11" t="s">
        <v>1930</v>
      </c>
      <c r="H335" s="12"/>
      <c r="I335" s="13">
        <v>0</v>
      </c>
      <c r="J335" s="13">
        <v>0</v>
      </c>
      <c r="K335" s="14" t="str">
        <f>HYPERLINK("https://dlvrit.com/","dlvr.it")</f>
        <v>dlvr.it</v>
      </c>
      <c r="L335" s="13">
        <v>3462</v>
      </c>
      <c r="M335" s="13">
        <v>2367</v>
      </c>
      <c r="N335" s="13">
        <v>23</v>
      </c>
      <c r="O335" s="15"/>
      <c r="P335" s="6">
        <v>41702.926354166666</v>
      </c>
      <c r="Q335" s="16" t="s">
        <v>1495</v>
      </c>
      <c r="R335" s="17" t="s">
        <v>1497</v>
      </c>
      <c r="S335" s="11" t="s">
        <v>1498</v>
      </c>
      <c r="T335" s="12"/>
      <c r="U335" s="10" t="str">
        <f>HYPERLINK("https://pbs.twimg.com/profile_images/462982799574581250/pOhVVnh8.png","View")</f>
        <v>View</v>
      </c>
    </row>
    <row r="336" spans="1:21" ht="51">
      <c r="A336" s="6">
        <v>43426.817974537036</v>
      </c>
      <c r="B336" s="7" t="str">
        <f>HYPERLINK("https://twitter.com/ErielMuniz","@ErielMuniz")</f>
        <v>@ErielMuniz</v>
      </c>
      <c r="C336" s="8" t="s">
        <v>969</v>
      </c>
      <c r="D336" s="9" t="s">
        <v>970</v>
      </c>
      <c r="E336" s="10" t="str">
        <f>HYPERLINK("https://twitter.com/ErielMuniz/status/1065675751205363714","1065675751205363714")</f>
        <v>1065675751205363714</v>
      </c>
      <c r="F336" s="12"/>
      <c r="G336" s="12"/>
      <c r="H336" s="12"/>
      <c r="I336" s="13">
        <v>1</v>
      </c>
      <c r="J336" s="13">
        <v>0</v>
      </c>
      <c r="K336" s="14" t="str">
        <f>HYPERLINK("https://mobile.twitter.com","Twitter Lite")</f>
        <v>Twitter Lite</v>
      </c>
      <c r="L336" s="13">
        <v>85</v>
      </c>
      <c r="M336" s="13">
        <v>312</v>
      </c>
      <c r="N336" s="13">
        <v>0</v>
      </c>
      <c r="O336" s="15"/>
      <c r="P336" s="6">
        <v>43351.309340277774</v>
      </c>
      <c r="Q336" s="16" t="s">
        <v>971</v>
      </c>
      <c r="R336" s="17" t="s">
        <v>972</v>
      </c>
      <c r="S336" s="11" t="s">
        <v>973</v>
      </c>
      <c r="T336" s="12"/>
      <c r="U336" s="10" t="str">
        <f>HYPERLINK("https://pbs.twimg.com/profile_images/1038302311037239296/CTqbcYsV.jpg","View")</f>
        <v>View</v>
      </c>
    </row>
    <row r="337" spans="1:21" ht="91.8">
      <c r="A337" s="6">
        <v>43426.815787037034</v>
      </c>
      <c r="B337" s="7" t="str">
        <f>HYPERLINK("https://twitter.com/Sergi1001","@Sergi1001")</f>
        <v>@Sergi1001</v>
      </c>
      <c r="C337" s="8" t="s">
        <v>1936</v>
      </c>
      <c r="D337" s="9" t="s">
        <v>1937</v>
      </c>
      <c r="E337" s="10" t="str">
        <f>HYPERLINK("https://twitter.com/Sergi1001/status/1065674959274557441","1065674959274557441")</f>
        <v>1065674959274557441</v>
      </c>
      <c r="F337" s="11" t="s">
        <v>1938</v>
      </c>
      <c r="G337" s="11" t="s">
        <v>1939</v>
      </c>
      <c r="H337" s="12"/>
      <c r="I337" s="13">
        <v>0</v>
      </c>
      <c r="J337" s="13">
        <v>1</v>
      </c>
      <c r="K337" s="14" t="str">
        <f>HYPERLINK("http://twitter.com","Twitter Web Client")</f>
        <v>Twitter Web Client</v>
      </c>
      <c r="L337" s="13">
        <v>144</v>
      </c>
      <c r="M337" s="13">
        <v>150</v>
      </c>
      <c r="N337" s="13">
        <v>0</v>
      </c>
      <c r="O337" s="15"/>
      <c r="P337" s="6">
        <v>41168.068703703706</v>
      </c>
      <c r="Q337" s="12"/>
      <c r="R337" s="17" t="s">
        <v>1940</v>
      </c>
      <c r="S337" s="12"/>
      <c r="T337" s="12"/>
      <c r="U337" s="10" t="str">
        <f>HYPERLINK("https://pbs.twimg.com/profile_images/870318866727096320/n45pnD8c.jpg","View")</f>
        <v>View</v>
      </c>
    </row>
    <row r="338" spans="1:21" ht="30.6">
      <c r="A338" s="6">
        <v>43426.815034722225</v>
      </c>
      <c r="B338" s="7" t="str">
        <f>HYPERLINK("https://twitter.com/ElCojodeLepanto","@ElCojodeLepanto")</f>
        <v>@ElCojodeLepanto</v>
      </c>
      <c r="C338" s="8" t="s">
        <v>1941</v>
      </c>
      <c r="D338" s="9" t="s">
        <v>1942</v>
      </c>
      <c r="E338" s="10" t="str">
        <f>HYPERLINK("https://twitter.com/ElCojodeLepanto/status/1065674687932436480","1065674687932436480")</f>
        <v>1065674687932436480</v>
      </c>
      <c r="F338" s="12"/>
      <c r="G338" s="12"/>
      <c r="H338" s="12"/>
      <c r="I338" s="13">
        <v>136</v>
      </c>
      <c r="J338" s="13">
        <v>340</v>
      </c>
      <c r="K338" s="14" t="str">
        <f>HYPERLINK("https://about.twitter.com/products/tweetdeck","TweetDeck")</f>
        <v>TweetDeck</v>
      </c>
      <c r="L338" s="13">
        <v>32709</v>
      </c>
      <c r="M338" s="13">
        <v>469</v>
      </c>
      <c r="N338" s="13">
        <v>558</v>
      </c>
      <c r="O338" s="15"/>
      <c r="P338" s="6">
        <v>40674.115659722222</v>
      </c>
      <c r="Q338" s="16" t="s">
        <v>1944</v>
      </c>
      <c r="R338" s="17" t="s">
        <v>1945</v>
      </c>
      <c r="S338" s="12"/>
      <c r="T338" s="12"/>
      <c r="U338" s="10" t="str">
        <f>HYPERLINK("https://pbs.twimg.com/profile_images/944142978314047488/7819WO28.jpg","View")</f>
        <v>View</v>
      </c>
    </row>
    <row r="339" spans="1:21" ht="51">
      <c r="A339" s="6">
        <v>43426.814305555556</v>
      </c>
      <c r="B339" s="7" t="str">
        <f>HYPERLINK("https://twitter.com/Albert_Rivera","@Albert_Rivera")</f>
        <v>@Albert_Rivera</v>
      </c>
      <c r="C339" s="8" t="s">
        <v>389</v>
      </c>
      <c r="D339" s="9" t="s">
        <v>1946</v>
      </c>
      <c r="E339" s="10" t="str">
        <f>HYPERLINK("https://twitter.com/Albert_Rivera/status/1065674424341446657","1065674424341446657")</f>
        <v>1065674424341446657</v>
      </c>
      <c r="F339" s="11" t="s">
        <v>1949</v>
      </c>
      <c r="G339" s="12"/>
      <c r="H339" s="12"/>
      <c r="I339" s="13">
        <v>346</v>
      </c>
      <c r="J339" s="13">
        <v>649</v>
      </c>
      <c r="K339" s="14" t="str">
        <f>HYPERLINK("http://twitter.com/download/iphone","Twitter for iPhone")</f>
        <v>Twitter for iPhone</v>
      </c>
      <c r="L339" s="13">
        <v>1071530</v>
      </c>
      <c r="M339" s="13">
        <v>2545</v>
      </c>
      <c r="N339" s="13">
        <v>5104</v>
      </c>
      <c r="O339" s="18" t="s">
        <v>36</v>
      </c>
      <c r="P339" s="6">
        <v>40205.748171296298</v>
      </c>
      <c r="Q339" s="16" t="s">
        <v>37</v>
      </c>
      <c r="R339" s="17" t="s">
        <v>393</v>
      </c>
      <c r="S339" s="11" t="s">
        <v>394</v>
      </c>
      <c r="T339" s="12"/>
      <c r="U339" s="10" t="str">
        <f>HYPERLINK("https://pbs.twimg.com/profile_images/1030708936779988993/RncDM4EZ.jpg","View")</f>
        <v>View</v>
      </c>
    </row>
    <row r="340" spans="1:21" ht="40.799999999999997">
      <c r="A340" s="6">
        <v>43426.809155092589</v>
      </c>
      <c r="B340" s="7" t="str">
        <f>HYPERLINK("https://twitter.com/caidodelguindo","@caidodelguindo")</f>
        <v>@caidodelguindo</v>
      </c>
      <c r="C340" s="8" t="s">
        <v>1954</v>
      </c>
      <c r="D340" s="9" t="s">
        <v>1955</v>
      </c>
      <c r="E340" s="10" t="str">
        <f>HYPERLINK("https://twitter.com/caidodelguindo/status/1065672557146398723","1065672557146398723")</f>
        <v>1065672557146398723</v>
      </c>
      <c r="F340" s="11" t="s">
        <v>635</v>
      </c>
      <c r="G340" s="12"/>
      <c r="H340" s="12"/>
      <c r="I340" s="13">
        <v>0</v>
      </c>
      <c r="J340" s="13">
        <v>0</v>
      </c>
      <c r="K340" s="14" t="str">
        <f>HYPERLINK("http://twitter.com/download/android","Twitter for Android")</f>
        <v>Twitter for Android</v>
      </c>
      <c r="L340" s="13">
        <v>499</v>
      </c>
      <c r="M340" s="13">
        <v>1387</v>
      </c>
      <c r="N340" s="13">
        <v>4</v>
      </c>
      <c r="O340" s="15"/>
      <c r="P340" s="6">
        <v>40578.777962962966</v>
      </c>
      <c r="Q340" s="16" t="s">
        <v>1958</v>
      </c>
      <c r="R340" s="17" t="s">
        <v>1959</v>
      </c>
      <c r="S340" s="12"/>
      <c r="T340" s="12"/>
      <c r="U340" s="10" t="str">
        <f>HYPERLINK("https://pbs.twimg.com/profile_images/1060638409771900928/LsNTAVKL.jpg","View")</f>
        <v>View</v>
      </c>
    </row>
    <row r="341" spans="1:21" ht="20.399999999999999">
      <c r="A341" s="6">
        <v>43426.807638888888</v>
      </c>
      <c r="B341" s="7" t="str">
        <f>HYPERLINK("https://twitter.com/Tremending","@Tremending")</f>
        <v>@Tremending</v>
      </c>
      <c r="C341" s="8" t="s">
        <v>1962</v>
      </c>
      <c r="D341" s="9" t="s">
        <v>1963</v>
      </c>
      <c r="E341" s="10" t="str">
        <f>HYPERLINK("https://twitter.com/Tremending/status/1065672007172481024","1065672007172481024")</f>
        <v>1065672007172481024</v>
      </c>
      <c r="F341" s="11" t="s">
        <v>495</v>
      </c>
      <c r="G341" s="12"/>
      <c r="H341" s="12"/>
      <c r="I341" s="13">
        <v>29</v>
      </c>
      <c r="J341" s="13">
        <v>31</v>
      </c>
      <c r="K341" s="14" t="str">
        <f>HYPERLINK("https://about.twitter.com/products/tweetdeck","TweetDeck")</f>
        <v>TweetDeck</v>
      </c>
      <c r="L341" s="13">
        <v>54663</v>
      </c>
      <c r="M341" s="13">
        <v>4</v>
      </c>
      <c r="N341" s="13">
        <v>522</v>
      </c>
      <c r="O341" s="18" t="s">
        <v>36</v>
      </c>
      <c r="P341" s="6">
        <v>41765.962523148148</v>
      </c>
      <c r="Q341" s="16" t="s">
        <v>1967</v>
      </c>
      <c r="R341" s="17" t="s">
        <v>1968</v>
      </c>
      <c r="S341" s="11" t="s">
        <v>1969</v>
      </c>
      <c r="T341" s="12"/>
      <c r="U341" s="10" t="str">
        <f>HYPERLINK("https://pbs.twimg.com/profile_images/801030804914704384/GSMNihQ_.jpg","View")</f>
        <v>View</v>
      </c>
    </row>
    <row r="342" spans="1:21" ht="30.6">
      <c r="A342" s="6">
        <v>43426.807523148149</v>
      </c>
      <c r="B342" s="7" t="str">
        <f>HYPERLINK("https://twitter.com/Extremaestafa","@Extremaestafa")</f>
        <v>@Extremaestafa</v>
      </c>
      <c r="C342" s="8" t="s">
        <v>1973</v>
      </c>
      <c r="D342" s="9" t="s">
        <v>1697</v>
      </c>
      <c r="E342" s="10" t="str">
        <f>HYPERLINK("https://twitter.com/Extremaestafa/status/1065671964562464768","1065671964562464768")</f>
        <v>1065671964562464768</v>
      </c>
      <c r="F342" s="11" t="s">
        <v>1700</v>
      </c>
      <c r="G342" s="12"/>
      <c r="H342" s="12"/>
      <c r="I342" s="13">
        <v>1</v>
      </c>
      <c r="J342" s="13">
        <v>0</v>
      </c>
      <c r="K342" s="14" t="str">
        <f>HYPERLINK("http://twitter.com","Twitter Web Client")</f>
        <v>Twitter Web Client</v>
      </c>
      <c r="L342" s="13">
        <v>3500</v>
      </c>
      <c r="M342" s="13">
        <v>3298</v>
      </c>
      <c r="N342" s="13">
        <v>24</v>
      </c>
      <c r="O342" s="15"/>
      <c r="P342" s="6">
        <v>41285.598078703704</v>
      </c>
      <c r="Q342" s="16" t="s">
        <v>1977</v>
      </c>
      <c r="R342" s="17" t="s">
        <v>1978</v>
      </c>
      <c r="S342" s="12"/>
      <c r="T342" s="12"/>
      <c r="U342" s="10" t="str">
        <f>HYPERLINK("https://pbs.twimg.com/profile_images/3095482525/865d04712c10c0801f659664b322430c.jpeg","View")</f>
        <v>View</v>
      </c>
    </row>
    <row r="343" spans="1:21" ht="30.6">
      <c r="A343" s="6">
        <v>43426.807025462964</v>
      </c>
      <c r="B343" s="7" t="str">
        <f>HYPERLINK("https://twitter.com/EstebanCagnadas","@EstebanCagnadas")</f>
        <v>@EstebanCagnadas</v>
      </c>
      <c r="C343" s="8" t="s">
        <v>1980</v>
      </c>
      <c r="D343" s="9" t="s">
        <v>1981</v>
      </c>
      <c r="E343" s="10" t="str">
        <f>HYPERLINK("https://twitter.com/EstebanCagnadas/status/1065671784253538305","1065671784253538305")</f>
        <v>1065671784253538305</v>
      </c>
      <c r="F343" s="12"/>
      <c r="G343" s="12"/>
      <c r="H343" s="12"/>
      <c r="I343" s="13">
        <v>0</v>
      </c>
      <c r="J343" s="13">
        <v>1</v>
      </c>
      <c r="K343" s="14" t="str">
        <f t="shared" ref="K343:K344" si="68">HYPERLINK("http://twitter.com/download/android","Twitter for Android")</f>
        <v>Twitter for Android</v>
      </c>
      <c r="L343" s="13">
        <v>1139</v>
      </c>
      <c r="M343" s="13">
        <v>872</v>
      </c>
      <c r="N343" s="13">
        <v>25</v>
      </c>
      <c r="O343" s="15"/>
      <c r="P343" s="6">
        <v>40978.357187499998</v>
      </c>
      <c r="Q343" s="16" t="s">
        <v>1982</v>
      </c>
      <c r="R343" s="19"/>
      <c r="S343" s="12"/>
      <c r="T343" s="12"/>
      <c r="U343" s="10" t="str">
        <f>HYPERLINK("https://pbs.twimg.com/profile_images/507182361436356608/YZJjTn75.jpeg","View")</f>
        <v>View</v>
      </c>
    </row>
    <row r="344" spans="1:21" ht="91.8">
      <c r="A344" s="6">
        <v>43426.806631944448</v>
      </c>
      <c r="B344" s="7" t="str">
        <f>HYPERLINK("https://twitter.com/RenePerle","@RenePerle")</f>
        <v>@RenePerle</v>
      </c>
      <c r="C344" s="8" t="s">
        <v>974</v>
      </c>
      <c r="D344" s="9" t="s">
        <v>975</v>
      </c>
      <c r="E344" s="10" t="str">
        <f>HYPERLINK("https://twitter.com/RenePerle/status/1065671641282355200","1065671641282355200")</f>
        <v>1065671641282355200</v>
      </c>
      <c r="F344" s="11" t="s">
        <v>976</v>
      </c>
      <c r="G344" s="11" t="s">
        <v>977</v>
      </c>
      <c r="H344" s="12"/>
      <c r="I344" s="13">
        <v>25</v>
      </c>
      <c r="J344" s="13">
        <v>26</v>
      </c>
      <c r="K344" s="14" t="str">
        <f t="shared" si="68"/>
        <v>Twitter for Android</v>
      </c>
      <c r="L344" s="13">
        <v>3929</v>
      </c>
      <c r="M344" s="13">
        <v>2468</v>
      </c>
      <c r="N344" s="13">
        <v>86</v>
      </c>
      <c r="O344" s="15"/>
      <c r="P344" s="6">
        <v>40680.411226851851</v>
      </c>
      <c r="Q344" s="16" t="s">
        <v>978</v>
      </c>
      <c r="R344" s="17" t="s">
        <v>979</v>
      </c>
      <c r="S344" s="12"/>
      <c r="T344" s="12"/>
      <c r="U344" s="10" t="str">
        <f>HYPERLINK("https://pbs.twimg.com/profile_images/1008131899510968325/aTGs5_Og.jpg","View")</f>
        <v>View</v>
      </c>
    </row>
    <row r="345" spans="1:21" ht="40.799999999999997">
      <c r="A345" s="6">
        <v>43426.8046875</v>
      </c>
      <c r="B345" s="7" t="str">
        <f>HYPERLINK("https://twitter.com/viralizeed_es","@viralizeed_es")</f>
        <v>@viralizeed_es</v>
      </c>
      <c r="C345" s="8" t="s">
        <v>1990</v>
      </c>
      <c r="D345" s="9" t="s">
        <v>1991</v>
      </c>
      <c r="E345" s="10" t="str">
        <f>HYPERLINK("https://twitter.com/viralizeed_es/status/1065670936207200257","1065670936207200257")</f>
        <v>1065670936207200257</v>
      </c>
      <c r="F345" s="11" t="s">
        <v>635</v>
      </c>
      <c r="G345" s="12"/>
      <c r="H345" s="12"/>
      <c r="I345" s="13">
        <v>0</v>
      </c>
      <c r="J345" s="13">
        <v>0</v>
      </c>
      <c r="K345" s="14" t="str">
        <f>HYPERLINK("http://www.es.viralizeed.com","viralizeed_es")</f>
        <v>viralizeed_es</v>
      </c>
      <c r="L345" s="13">
        <v>1618</v>
      </c>
      <c r="M345" s="13">
        <v>906</v>
      </c>
      <c r="N345" s="13">
        <v>28</v>
      </c>
      <c r="O345" s="15"/>
      <c r="P345" s="6">
        <v>42538.670567129629</v>
      </c>
      <c r="Q345" s="12"/>
      <c r="R345" s="17" t="s">
        <v>1994</v>
      </c>
      <c r="S345" s="11" t="s">
        <v>1995</v>
      </c>
      <c r="T345" s="12"/>
      <c r="U345" s="10" t="str">
        <f>HYPERLINK("https://pbs.twimg.com/profile_images/743809086295252993/AD3q42v-.jpg","View")</f>
        <v>View</v>
      </c>
    </row>
    <row r="346" spans="1:21" ht="30.6">
      <c r="A346" s="6">
        <v>43426.804583333331</v>
      </c>
      <c r="B346" s="7" t="str">
        <f>HYPERLINK("https://twitter.com/talafree1","@talafree1")</f>
        <v>@talafree1</v>
      </c>
      <c r="C346" s="8" t="s">
        <v>1998</v>
      </c>
      <c r="D346" s="9" t="s">
        <v>1999</v>
      </c>
      <c r="E346" s="10" t="str">
        <f>HYPERLINK("https://twitter.com/talafree1/status/1065670899330949120","1065670899330949120")</f>
        <v>1065670899330949120</v>
      </c>
      <c r="F346" s="12"/>
      <c r="G346" s="12"/>
      <c r="H346" s="12"/>
      <c r="I346" s="13">
        <v>0</v>
      </c>
      <c r="J346" s="13">
        <v>0</v>
      </c>
      <c r="K346" s="14" t="str">
        <f>HYPERLINK("https://mobile.twitter.com","Twitter Lite")</f>
        <v>Twitter Lite</v>
      </c>
      <c r="L346" s="13">
        <v>503</v>
      </c>
      <c r="M346" s="13">
        <v>800</v>
      </c>
      <c r="N346" s="13">
        <v>26</v>
      </c>
      <c r="O346" s="15"/>
      <c r="P346" s="6">
        <v>40961.635081018518</v>
      </c>
      <c r="Q346" s="12"/>
      <c r="R346" s="17" t="s">
        <v>2002</v>
      </c>
      <c r="S346" s="12"/>
      <c r="T346" s="12"/>
      <c r="U346" s="10" t="str">
        <f>HYPERLINK("https://pbs.twimg.com/profile_images/1845741492/Tux_Avatar__21_.png","View")</f>
        <v>View</v>
      </c>
    </row>
    <row r="347" spans="1:21" ht="30.6">
      <c r="A347" s="6">
        <v>43426.803136574075</v>
      </c>
      <c r="B347" s="7" t="str">
        <f>HYPERLINK("https://twitter.com/carlosdd59","@carlosdd59")</f>
        <v>@carlosdd59</v>
      </c>
      <c r="C347" s="8" t="s">
        <v>2004</v>
      </c>
      <c r="D347" s="9" t="s">
        <v>632</v>
      </c>
      <c r="E347" s="10" t="str">
        <f>HYPERLINK("https://twitter.com/carlosdd59/status/1065670374434791424","1065670374434791424")</f>
        <v>1065670374434791424</v>
      </c>
      <c r="F347" s="11" t="s">
        <v>635</v>
      </c>
      <c r="G347" s="12"/>
      <c r="H347" s="12"/>
      <c r="I347" s="13">
        <v>0</v>
      </c>
      <c r="J347" s="13">
        <v>0</v>
      </c>
      <c r="K347" s="14" t="str">
        <f>HYPERLINK("http://twitter.com","Twitter Web Client")</f>
        <v>Twitter Web Client</v>
      </c>
      <c r="L347" s="13">
        <v>9031</v>
      </c>
      <c r="M347" s="13">
        <v>8183</v>
      </c>
      <c r="N347" s="13">
        <v>123</v>
      </c>
      <c r="O347" s="15"/>
      <c r="P347" s="6">
        <v>41231.580868055556</v>
      </c>
      <c r="Q347" s="12"/>
      <c r="R347" s="17" t="s">
        <v>2010</v>
      </c>
      <c r="S347" s="11" t="s">
        <v>2011</v>
      </c>
      <c r="T347" s="12"/>
      <c r="U347" s="10" t="str">
        <f>HYPERLINK("https://pbs.twimg.com/profile_images/739853949902172160/GVF4tMH4.jpg","View")</f>
        <v>View</v>
      </c>
    </row>
    <row r="348" spans="1:21" ht="30.6">
      <c r="A348" s="6">
        <v>43426.803090277783</v>
      </c>
      <c r="B348" s="7" t="str">
        <f>HYPERLINK("https://twitter.com/jose220154","@jose220154")</f>
        <v>@jose220154</v>
      </c>
      <c r="C348" s="8" t="s">
        <v>2014</v>
      </c>
      <c r="D348" s="9" t="s">
        <v>2015</v>
      </c>
      <c r="E348" s="10" t="str">
        <f>HYPERLINK("https://twitter.com/jose220154/status/1065670359813369857","1065670359813369857")</f>
        <v>1065670359813369857</v>
      </c>
      <c r="F348" s="12"/>
      <c r="G348" s="12"/>
      <c r="H348" s="12"/>
      <c r="I348" s="13">
        <v>0</v>
      </c>
      <c r="J348" s="13">
        <v>1</v>
      </c>
      <c r="K348" s="14" t="str">
        <f>HYPERLINK("http://twitter.com/#!/download/ipad","Twitter for iPad")</f>
        <v>Twitter for iPad</v>
      </c>
      <c r="L348" s="13">
        <v>6</v>
      </c>
      <c r="M348" s="13">
        <v>42</v>
      </c>
      <c r="N348" s="13">
        <v>0</v>
      </c>
      <c r="O348" s="15"/>
      <c r="P348" s="6">
        <v>42744.117800925931</v>
      </c>
      <c r="Q348" s="16" t="s">
        <v>759</v>
      </c>
      <c r="R348" s="19"/>
      <c r="S348" s="12"/>
      <c r="T348" s="12"/>
      <c r="U348" s="10" t="str">
        <f>HYPERLINK("https://pbs.twimg.com/profile_images/905455041863143425/0wizDNxx.jpg","View")</f>
        <v>View</v>
      </c>
    </row>
    <row r="349" spans="1:21" ht="20.399999999999999">
      <c r="A349" s="6">
        <v>43426.802986111114</v>
      </c>
      <c r="B349" s="7" t="str">
        <f>HYPERLINK("https://twitter.com/lamparillav","@lamparillav")</f>
        <v>@lamparillav</v>
      </c>
      <c r="C349" s="8" t="s">
        <v>2016</v>
      </c>
      <c r="D349" s="9" t="s">
        <v>632</v>
      </c>
      <c r="E349" s="10" t="str">
        <f>HYPERLINK("https://twitter.com/lamparillav/status/1065670320504348672","1065670320504348672")</f>
        <v>1065670320504348672</v>
      </c>
      <c r="F349" s="11" t="s">
        <v>635</v>
      </c>
      <c r="G349" s="12"/>
      <c r="H349" s="12"/>
      <c r="I349" s="13">
        <v>0</v>
      </c>
      <c r="J349" s="13">
        <v>0</v>
      </c>
      <c r="K349" s="14" t="str">
        <f>HYPERLINK("http://twitter.com","Twitter Web Client")</f>
        <v>Twitter Web Client</v>
      </c>
      <c r="L349" s="13">
        <v>15</v>
      </c>
      <c r="M349" s="13">
        <v>58</v>
      </c>
      <c r="N349" s="13">
        <v>1</v>
      </c>
      <c r="O349" s="15"/>
      <c r="P349" s="6">
        <v>41745.82372685185</v>
      </c>
      <c r="Q349" s="16" t="s">
        <v>2020</v>
      </c>
      <c r="R349" s="17" t="s">
        <v>2021</v>
      </c>
      <c r="S349" s="12"/>
      <c r="T349" s="12"/>
      <c r="U349" s="18" t="s">
        <v>559</v>
      </c>
    </row>
    <row r="350" spans="1:21" ht="20.399999999999999">
      <c r="A350" s="6">
        <v>43426.802442129629</v>
      </c>
      <c r="B350" s="7" t="str">
        <f>HYPERLINK("https://twitter.com/Salicornia16","@Salicornia16")</f>
        <v>@Salicornia16</v>
      </c>
      <c r="C350" s="8" t="s">
        <v>2022</v>
      </c>
      <c r="D350" s="9" t="s">
        <v>2023</v>
      </c>
      <c r="E350" s="10" t="str">
        <f>HYPERLINK("https://twitter.com/Salicornia16/status/1065670125863518208","1065670125863518208")</f>
        <v>1065670125863518208</v>
      </c>
      <c r="F350" s="11" t="s">
        <v>635</v>
      </c>
      <c r="G350" s="12"/>
      <c r="H350" s="12"/>
      <c r="I350" s="13">
        <v>0</v>
      </c>
      <c r="J350" s="13">
        <v>0</v>
      </c>
      <c r="K350" s="14" t="str">
        <f t="shared" ref="K350:K351" si="69">HYPERLINK("http://twitter.com/download/iphone","Twitter for iPhone")</f>
        <v>Twitter for iPhone</v>
      </c>
      <c r="L350" s="13">
        <v>30</v>
      </c>
      <c r="M350" s="13">
        <v>218</v>
      </c>
      <c r="N350" s="13">
        <v>0</v>
      </c>
      <c r="O350" s="15"/>
      <c r="P350" s="6">
        <v>42394.618310185186</v>
      </c>
      <c r="Q350" s="12"/>
      <c r="R350" s="19"/>
      <c r="S350" s="12"/>
      <c r="T350" s="12"/>
      <c r="U350" s="18" t="s">
        <v>559</v>
      </c>
    </row>
    <row r="351" spans="1:21" ht="102">
      <c r="A351" s="6">
        <v>43426.801122685181</v>
      </c>
      <c r="B351" s="7" t="str">
        <f>HYPERLINK("https://twitter.com/gajor35","@gajor35")</f>
        <v>@gajor35</v>
      </c>
      <c r="C351" s="8" t="s">
        <v>980</v>
      </c>
      <c r="D351" s="9" t="s">
        <v>981</v>
      </c>
      <c r="E351" s="10" t="str">
        <f>HYPERLINK("https://twitter.com/gajor35/status/1065669645703806977","1065669645703806977")</f>
        <v>1065669645703806977</v>
      </c>
      <c r="F351" s="11" t="s">
        <v>982</v>
      </c>
      <c r="G351" s="11" t="s">
        <v>983</v>
      </c>
      <c r="H351" s="12"/>
      <c r="I351" s="13">
        <v>2</v>
      </c>
      <c r="J351" s="13">
        <v>2</v>
      </c>
      <c r="K351" s="14" t="str">
        <f t="shared" si="69"/>
        <v>Twitter for iPhone</v>
      </c>
      <c r="L351" s="13">
        <v>936</v>
      </c>
      <c r="M351" s="13">
        <v>2178</v>
      </c>
      <c r="N351" s="13">
        <v>25</v>
      </c>
      <c r="O351" s="15"/>
      <c r="P351" s="6">
        <v>40225.160555555558</v>
      </c>
      <c r="Q351" s="16" t="s">
        <v>189</v>
      </c>
      <c r="R351" s="17" t="s">
        <v>984</v>
      </c>
      <c r="S351" s="12"/>
      <c r="T351" s="12"/>
      <c r="U351" s="10" t="str">
        <f>HYPERLINK("https://pbs.twimg.com/profile_images/1037726908799180806/O1Br1cVJ.jpg","View")</f>
        <v>View</v>
      </c>
    </row>
    <row r="352" spans="1:21" ht="30.6">
      <c r="A352" s="6">
        <v>43426.801111111112</v>
      </c>
      <c r="B352" s="7" t="str">
        <f>HYPERLINK("https://twitter.com/CsRegionMurcia","@CsRegionMurcia")</f>
        <v>@CsRegionMurcia</v>
      </c>
      <c r="C352" s="8" t="s">
        <v>825</v>
      </c>
      <c r="D352" s="9" t="s">
        <v>985</v>
      </c>
      <c r="E352" s="10" t="str">
        <f>HYPERLINK("https://twitter.com/CsRegionMurcia/status/1065669642612559872","1065669642612559872")</f>
        <v>1065669642612559872</v>
      </c>
      <c r="F352" s="11" t="s">
        <v>986</v>
      </c>
      <c r="G352" s="11" t="s">
        <v>987</v>
      </c>
      <c r="H352" s="12"/>
      <c r="I352" s="13">
        <v>10</v>
      </c>
      <c r="J352" s="13">
        <v>10</v>
      </c>
      <c r="K352" s="14" t="str">
        <f>HYPERLINK("http://twitter.com","Twitter Web Client")</f>
        <v>Twitter Web Client</v>
      </c>
      <c r="L352" s="13">
        <v>6225</v>
      </c>
      <c r="M352" s="13">
        <v>1108</v>
      </c>
      <c r="N352" s="13">
        <v>96</v>
      </c>
      <c r="O352" s="18" t="s">
        <v>36</v>
      </c>
      <c r="P352" s="6">
        <v>40745.431666666671</v>
      </c>
      <c r="Q352" s="16" t="s">
        <v>832</v>
      </c>
      <c r="R352" s="17" t="s">
        <v>833</v>
      </c>
      <c r="S352" s="11" t="s">
        <v>473</v>
      </c>
      <c r="T352" s="12"/>
      <c r="U352" s="10" t="str">
        <f>HYPERLINK("https://pbs.twimg.com/profile_images/1053559144299614208/SFwaZPxU.jpg","View")</f>
        <v>View</v>
      </c>
    </row>
    <row r="353" spans="1:21" ht="20.399999999999999">
      <c r="A353" s="6">
        <v>43426.800393518519</v>
      </c>
      <c r="B353" s="7" t="str">
        <f>HYPERLINK("https://twitter.com/MiguelLeiros","@MiguelLeiros")</f>
        <v>@MiguelLeiros</v>
      </c>
      <c r="C353" s="8" t="s">
        <v>2035</v>
      </c>
      <c r="D353" s="9" t="s">
        <v>1509</v>
      </c>
      <c r="E353" s="10" t="str">
        <f>HYPERLINK("https://twitter.com/MiguelLeiros/status/1065669381852725248","1065669381852725248")</f>
        <v>1065669381852725248</v>
      </c>
      <c r="F353" s="11" t="s">
        <v>1510</v>
      </c>
      <c r="G353" s="12"/>
      <c r="H353" s="12"/>
      <c r="I353" s="13">
        <v>1</v>
      </c>
      <c r="J353" s="13">
        <v>1</v>
      </c>
      <c r="K353" s="14" t="str">
        <f>HYPERLINK("http://www.facebook.com/twitter","Facebook")</f>
        <v>Facebook</v>
      </c>
      <c r="L353" s="13">
        <v>272</v>
      </c>
      <c r="M353" s="13">
        <v>326</v>
      </c>
      <c r="N353" s="13">
        <v>0</v>
      </c>
      <c r="O353" s="15"/>
      <c r="P353" s="6">
        <v>40303.858217592591</v>
      </c>
      <c r="Q353" s="16" t="s">
        <v>2038</v>
      </c>
      <c r="R353" s="17" t="s">
        <v>2039</v>
      </c>
      <c r="S353" s="11" t="s">
        <v>2040</v>
      </c>
      <c r="T353" s="12"/>
      <c r="U353" s="10" t="str">
        <f>HYPERLINK("https://pbs.twimg.com/profile_images/1002489810232147969/GOkd96UM.jpg","View")</f>
        <v>View</v>
      </c>
    </row>
    <row r="354" spans="1:21" ht="51">
      <c r="A354" s="6">
        <v>43426.799837962964</v>
      </c>
      <c r="B354" s="7" t="str">
        <f>HYPERLINK("https://twitter.com/lopeor_cruz","@lopeor_cruz")</f>
        <v>@lopeor_cruz</v>
      </c>
      <c r="C354" s="8" t="s">
        <v>988</v>
      </c>
      <c r="D354" s="9" t="s">
        <v>989</v>
      </c>
      <c r="E354" s="10" t="str">
        <f>HYPERLINK("https://twitter.com/lopeor_cruz/status/1065669181448822785","1065669181448822785")</f>
        <v>1065669181448822785</v>
      </c>
      <c r="F354" s="11" t="s">
        <v>990</v>
      </c>
      <c r="G354" s="11" t="s">
        <v>991</v>
      </c>
      <c r="H354" s="12"/>
      <c r="I354" s="13">
        <v>0</v>
      </c>
      <c r="J354" s="13">
        <v>2</v>
      </c>
      <c r="K354" s="14" t="str">
        <f>HYPERLINK("http://twitter.com/download/android","Twitter for Android")</f>
        <v>Twitter for Android</v>
      </c>
      <c r="L354" s="13">
        <v>160</v>
      </c>
      <c r="M354" s="13">
        <v>133</v>
      </c>
      <c r="N354" s="13">
        <v>0</v>
      </c>
      <c r="O354" s="15"/>
      <c r="P354" s="6">
        <v>42627.224120370374</v>
      </c>
      <c r="Q354" s="16" t="s">
        <v>992</v>
      </c>
      <c r="R354" s="17" t="s">
        <v>993</v>
      </c>
      <c r="S354" s="11" t="s">
        <v>994</v>
      </c>
      <c r="T354" s="12"/>
      <c r="U354" s="10" t="str">
        <f>HYPERLINK("https://pbs.twimg.com/profile_images/893110532290396161/4bkxOhw4.jpg","View")</f>
        <v>View</v>
      </c>
    </row>
    <row r="355" spans="1:21" ht="30.6">
      <c r="A355" s="6">
        <v>43426.799305555556</v>
      </c>
      <c r="B355" s="7" t="str">
        <f>HYPERLINK("https://twitter.com/CsLaRioja","@CsLaRioja")</f>
        <v>@CsLaRioja</v>
      </c>
      <c r="C355" s="8" t="s">
        <v>1000</v>
      </c>
      <c r="D355" s="9" t="s">
        <v>1001</v>
      </c>
      <c r="E355" s="10" t="str">
        <f>HYPERLINK("https://twitter.com/CsLaRioja/status/1065668987349069824","1065668987349069824")</f>
        <v>1065668987349069824</v>
      </c>
      <c r="F355" s="11" t="s">
        <v>1002</v>
      </c>
      <c r="G355" s="11" t="s">
        <v>1003</v>
      </c>
      <c r="H355" s="12"/>
      <c r="I355" s="13">
        <v>1</v>
      </c>
      <c r="J355" s="13">
        <v>1</v>
      </c>
      <c r="K355" s="14" t="str">
        <f>HYPERLINK("https://about.twitter.com/products/tweetdeck","TweetDeck")</f>
        <v>TweetDeck</v>
      </c>
      <c r="L355" s="13">
        <v>4219</v>
      </c>
      <c r="M355" s="13">
        <v>1618</v>
      </c>
      <c r="N355" s="13">
        <v>83</v>
      </c>
      <c r="O355" s="18" t="s">
        <v>36</v>
      </c>
      <c r="P355" s="6">
        <v>41950.884421296294</v>
      </c>
      <c r="Q355" s="16" t="s">
        <v>1007</v>
      </c>
      <c r="R355" s="17" t="s">
        <v>1008</v>
      </c>
      <c r="S355" s="11" t="s">
        <v>1009</v>
      </c>
      <c r="T355" s="12"/>
      <c r="U355" s="10" t="str">
        <f>HYPERLINK("https://pbs.twimg.com/profile_images/1053530865739988993/qxMztW6q.jpg","View")</f>
        <v>View</v>
      </c>
    </row>
    <row r="356" spans="1:21" ht="40.799999999999997">
      <c r="A356" s="6">
        <v>43426.798796296294</v>
      </c>
      <c r="B356" s="7" t="str">
        <f>HYPERLINK("https://twitter.com/PCamorrista","@PCamorrista")</f>
        <v>@PCamorrista</v>
      </c>
      <c r="C356" s="8" t="s">
        <v>311</v>
      </c>
      <c r="D356" s="9" t="s">
        <v>1013</v>
      </c>
      <c r="E356" s="10" t="str">
        <f>HYPERLINK("https://twitter.com/PCamorrista/status/1065668804888457216","1065668804888457216")</f>
        <v>1065668804888457216</v>
      </c>
      <c r="F356" s="11" t="s">
        <v>223</v>
      </c>
      <c r="G356" s="12"/>
      <c r="H356" s="12"/>
      <c r="I356" s="13">
        <v>21</v>
      </c>
      <c r="J356" s="13">
        <v>15</v>
      </c>
      <c r="K356" s="14" t="str">
        <f>HYPERLINK("http://twitter.com/download/iphone","Twitter for iPhone")</f>
        <v>Twitter for iPhone</v>
      </c>
      <c r="L356" s="13">
        <v>1953</v>
      </c>
      <c r="M356" s="13">
        <v>1977</v>
      </c>
      <c r="N356" s="13">
        <v>10</v>
      </c>
      <c r="O356" s="15"/>
      <c r="P356" s="6">
        <v>43114.384884259256</v>
      </c>
      <c r="Q356" s="16" t="s">
        <v>37</v>
      </c>
      <c r="R356" s="17" t="s">
        <v>314</v>
      </c>
      <c r="S356" s="11" t="s">
        <v>315</v>
      </c>
      <c r="T356" s="12"/>
      <c r="U356" s="10" t="str">
        <f>HYPERLINK("https://pbs.twimg.com/profile_images/952459031083397120/u6DBThkF.jpg","View")</f>
        <v>View</v>
      </c>
    </row>
    <row r="357" spans="1:21" ht="20.399999999999999">
      <c r="A357" s="6">
        <v>43426.795844907407</v>
      </c>
      <c r="B357" s="7" t="str">
        <f>HYPERLINK("https://twitter.com/Oa_Xavier","@Oa_Xavier")</f>
        <v>@Oa_Xavier</v>
      </c>
      <c r="C357" s="8" t="s">
        <v>2051</v>
      </c>
      <c r="D357" s="9" t="s">
        <v>2052</v>
      </c>
      <c r="E357" s="10" t="str">
        <f>HYPERLINK("https://twitter.com/Oa_Xavier/status/1065667735458320384","1065667735458320384")</f>
        <v>1065667735458320384</v>
      </c>
      <c r="F357" s="12"/>
      <c r="G357" s="12"/>
      <c r="H357" s="12"/>
      <c r="I357" s="13">
        <v>0</v>
      </c>
      <c r="J357" s="13">
        <v>0</v>
      </c>
      <c r="K357" s="14" t="str">
        <f>HYPERLINK("http://twitter.com/download/android","Twitter for Android")</f>
        <v>Twitter for Android</v>
      </c>
      <c r="L357" s="13">
        <v>5</v>
      </c>
      <c r="M357" s="13">
        <v>35</v>
      </c>
      <c r="N357" s="13">
        <v>0</v>
      </c>
      <c r="O357" s="15"/>
      <c r="P357" s="6">
        <v>43357.949224537035</v>
      </c>
      <c r="Q357" s="16" t="s">
        <v>2054</v>
      </c>
      <c r="R357" s="17" t="s">
        <v>2055</v>
      </c>
      <c r="S357" s="12"/>
      <c r="T357" s="12"/>
      <c r="U357" s="10" t="str">
        <f>HYPERLINK("https://pbs.twimg.com/profile_images/1065645712954851328/-KQa3pf9.jpg","View")</f>
        <v>View</v>
      </c>
    </row>
    <row r="358" spans="1:21" ht="20.399999999999999">
      <c r="A358" s="6">
        <v>43426.795555555553</v>
      </c>
      <c r="B358" s="7" t="str">
        <f>HYPERLINK("https://twitter.com/talanquera1","@talanquera1")</f>
        <v>@talanquera1</v>
      </c>
      <c r="C358" s="8" t="s">
        <v>2056</v>
      </c>
      <c r="D358" s="9" t="s">
        <v>632</v>
      </c>
      <c r="E358" s="10" t="str">
        <f>HYPERLINK("https://twitter.com/talanquera1/status/1065667627165597697","1065667627165597697")</f>
        <v>1065667627165597697</v>
      </c>
      <c r="F358" s="11" t="s">
        <v>635</v>
      </c>
      <c r="G358" s="12"/>
      <c r="H358" s="12"/>
      <c r="I358" s="13">
        <v>0</v>
      </c>
      <c r="J358" s="13">
        <v>0</v>
      </c>
      <c r="K358" s="14" t="str">
        <f>HYPERLINK("http://twitter.com","Twitter Web Client")</f>
        <v>Twitter Web Client</v>
      </c>
      <c r="L358" s="13">
        <v>1727</v>
      </c>
      <c r="M358" s="13">
        <v>1755</v>
      </c>
      <c r="N358" s="13">
        <v>4</v>
      </c>
      <c r="O358" s="15"/>
      <c r="P358" s="6">
        <v>40454.897743055553</v>
      </c>
      <c r="Q358" s="16" t="s">
        <v>37</v>
      </c>
      <c r="R358" s="17" t="s">
        <v>2061</v>
      </c>
      <c r="S358" s="12"/>
      <c r="T358" s="12"/>
      <c r="U358" s="10" t="str">
        <f>HYPERLINK("https://pbs.twimg.com/profile_images/2289720349/s4omodk6pntr4zlzrtp6.jpeg","View")</f>
        <v>View</v>
      </c>
    </row>
    <row r="359" spans="1:21" ht="20.399999999999999">
      <c r="A359" s="6">
        <v>43426.79552083333</v>
      </c>
      <c r="B359" s="7" t="str">
        <f>HYPERLINK("https://twitter.com/_mike_12_","@_mike_12_")</f>
        <v>@_mike_12_</v>
      </c>
      <c r="C359" s="8" t="s">
        <v>1014</v>
      </c>
      <c r="D359" s="9" t="s">
        <v>1015</v>
      </c>
      <c r="E359" s="10" t="str">
        <f>HYPERLINK("https://twitter.com/_mike_12_/status/1065667615509630976","1065667615509630976")</f>
        <v>1065667615509630976</v>
      </c>
      <c r="F359" s="12"/>
      <c r="G359" s="11" t="s">
        <v>1016</v>
      </c>
      <c r="H359" s="12"/>
      <c r="I359" s="13">
        <v>0</v>
      </c>
      <c r="J359" s="13">
        <v>0</v>
      </c>
      <c r="K359" s="14" t="str">
        <f t="shared" ref="K359:K360" si="70">HYPERLINK("http://twitter.com/download/iphone","Twitter for iPhone")</f>
        <v>Twitter for iPhone</v>
      </c>
      <c r="L359" s="13">
        <v>404</v>
      </c>
      <c r="M359" s="13">
        <v>1074</v>
      </c>
      <c r="N359" s="13">
        <v>2</v>
      </c>
      <c r="O359" s="15"/>
      <c r="P359" s="6">
        <v>41045.004629629628</v>
      </c>
      <c r="Q359" s="12"/>
      <c r="R359" s="27" t="s">
        <v>1017</v>
      </c>
      <c r="S359" s="12"/>
      <c r="T359" s="12"/>
      <c r="U359" s="10" t="str">
        <f>HYPERLINK("https://pbs.twimg.com/profile_images/801830889114177537/3VR27-GV.jpg","View")</f>
        <v>View</v>
      </c>
    </row>
    <row r="360" spans="1:21" ht="51">
      <c r="A360" s="6">
        <v>43426.795462962968</v>
      </c>
      <c r="B360" s="7" t="str">
        <f>HYPERLINK("https://twitter.com/PCamorrista","@PCamorrista")</f>
        <v>@PCamorrista</v>
      </c>
      <c r="C360" s="8" t="s">
        <v>311</v>
      </c>
      <c r="D360" s="9" t="s">
        <v>1018</v>
      </c>
      <c r="E360" s="10" t="str">
        <f>HYPERLINK("https://twitter.com/PCamorrista/status/1065667597109202944","1065667597109202944")</f>
        <v>1065667597109202944</v>
      </c>
      <c r="F360" s="11" t="s">
        <v>223</v>
      </c>
      <c r="G360" s="12"/>
      <c r="H360" s="12"/>
      <c r="I360" s="13">
        <v>42</v>
      </c>
      <c r="J360" s="13">
        <v>30</v>
      </c>
      <c r="K360" s="14" t="str">
        <f t="shared" si="70"/>
        <v>Twitter for iPhone</v>
      </c>
      <c r="L360" s="13">
        <v>1953</v>
      </c>
      <c r="M360" s="13">
        <v>1977</v>
      </c>
      <c r="N360" s="13">
        <v>10</v>
      </c>
      <c r="O360" s="15"/>
      <c r="P360" s="6">
        <v>43114.384884259256</v>
      </c>
      <c r="Q360" s="16" t="s">
        <v>37</v>
      </c>
      <c r="R360" s="17" t="s">
        <v>314</v>
      </c>
      <c r="S360" s="11" t="s">
        <v>315</v>
      </c>
      <c r="T360" s="12"/>
      <c r="U360" s="10" t="str">
        <f>HYPERLINK("https://pbs.twimg.com/profile_images/952459031083397120/u6DBThkF.jpg","View")</f>
        <v>View</v>
      </c>
    </row>
    <row r="361" spans="1:21" ht="20.399999999999999">
      <c r="A361" s="6">
        <v>43426.79515046296</v>
      </c>
      <c r="B361" s="7" t="str">
        <f>HYPERLINK("https://twitter.com/PBMarbeMalaga","@PBMarbeMalaga")</f>
        <v>@PBMarbeMalaga</v>
      </c>
      <c r="C361" s="8" t="s">
        <v>2068</v>
      </c>
      <c r="D361" s="9" t="s">
        <v>2069</v>
      </c>
      <c r="E361" s="10" t="str">
        <f>HYPERLINK("https://twitter.com/PBMarbeMalaga/status/1065667481019301888","1065667481019301888")</f>
        <v>1065667481019301888</v>
      </c>
      <c r="F361" s="11" t="s">
        <v>2071</v>
      </c>
      <c r="G361" s="12"/>
      <c r="H361" s="12"/>
      <c r="I361" s="13">
        <v>0</v>
      </c>
      <c r="J361" s="13">
        <v>0</v>
      </c>
      <c r="K361" s="14" t="str">
        <f>HYPERLINK("https://javitang.ddns.net","PBMarbeMalaga")</f>
        <v>PBMarbeMalaga</v>
      </c>
      <c r="L361" s="13">
        <v>1222</v>
      </c>
      <c r="M361" s="13">
        <v>1245</v>
      </c>
      <c r="N361" s="13">
        <v>2</v>
      </c>
      <c r="O361" s="15"/>
      <c r="P361" s="6">
        <v>43149.814074074078</v>
      </c>
      <c r="Q361" s="16" t="s">
        <v>2073</v>
      </c>
      <c r="R361" s="17" t="s">
        <v>2074</v>
      </c>
      <c r="S361" s="12"/>
      <c r="T361" s="12"/>
      <c r="U361" s="10" t="str">
        <f>HYPERLINK("https://pbs.twimg.com/profile_images/965296691145531392/sAFnfUu2.jpg","View")</f>
        <v>View</v>
      </c>
    </row>
    <row r="362" spans="1:21" ht="40.799999999999997">
      <c r="A362" s="6">
        <v>43426.795046296298</v>
      </c>
      <c r="B362" s="7" t="str">
        <f>HYPERLINK("https://twitter.com/tatarlak","@tatarlak")</f>
        <v>@tatarlak</v>
      </c>
      <c r="C362" s="8" t="s">
        <v>677</v>
      </c>
      <c r="D362" s="9" t="s">
        <v>1019</v>
      </c>
      <c r="E362" s="10" t="str">
        <f>HYPERLINK("https://twitter.com/tatarlak/status/1065667443320868864","1065667443320868864")</f>
        <v>1065667443320868864</v>
      </c>
      <c r="F362" s="12"/>
      <c r="G362" s="11" t="s">
        <v>1020</v>
      </c>
      <c r="H362" s="12"/>
      <c r="I362" s="13">
        <v>1</v>
      </c>
      <c r="J362" s="13">
        <v>1</v>
      </c>
      <c r="K362" s="14" t="str">
        <f t="shared" ref="K362:K363" si="71">HYPERLINK("http://twitter.com/download/android","Twitter for Android")</f>
        <v>Twitter for Android</v>
      </c>
      <c r="L362" s="13">
        <v>3535</v>
      </c>
      <c r="M362" s="13">
        <v>4626</v>
      </c>
      <c r="N362" s="13">
        <v>173</v>
      </c>
      <c r="O362" s="15"/>
      <c r="P362" s="6">
        <v>39942.875520833331</v>
      </c>
      <c r="Q362" s="16" t="s">
        <v>682</v>
      </c>
      <c r="R362" s="17" t="s">
        <v>683</v>
      </c>
      <c r="S362" s="11" t="s">
        <v>684</v>
      </c>
      <c r="T362" s="12"/>
      <c r="U362" s="10" t="str">
        <f>HYPERLINK("https://pbs.twimg.com/profile_images/828645700825182209/EyWSNwMu.jpg","View")</f>
        <v>View</v>
      </c>
    </row>
    <row r="363" spans="1:21" ht="91.8">
      <c r="A363" s="6">
        <v>43426.794618055559</v>
      </c>
      <c r="B363" s="7" t="str">
        <f>HYPERLINK("https://twitter.com/RenePerle","@RenePerle")</f>
        <v>@RenePerle</v>
      </c>
      <c r="C363" s="8" t="s">
        <v>974</v>
      </c>
      <c r="D363" s="9" t="s">
        <v>1024</v>
      </c>
      <c r="E363" s="10" t="str">
        <f>HYPERLINK("https://twitter.com/RenePerle/status/1065667290522443778","1065667290522443778")</f>
        <v>1065667290522443778</v>
      </c>
      <c r="F363" s="11" t="s">
        <v>976</v>
      </c>
      <c r="G363" s="11" t="s">
        <v>977</v>
      </c>
      <c r="H363" s="12"/>
      <c r="I363" s="13">
        <v>50</v>
      </c>
      <c r="J363" s="13">
        <v>49</v>
      </c>
      <c r="K363" s="14" t="str">
        <f t="shared" si="71"/>
        <v>Twitter for Android</v>
      </c>
      <c r="L363" s="13">
        <v>3929</v>
      </c>
      <c r="M363" s="13">
        <v>2468</v>
      </c>
      <c r="N363" s="13">
        <v>86</v>
      </c>
      <c r="O363" s="15"/>
      <c r="P363" s="6">
        <v>40680.411226851851</v>
      </c>
      <c r="Q363" s="16" t="s">
        <v>978</v>
      </c>
      <c r="R363" s="17" t="s">
        <v>979</v>
      </c>
      <c r="S363" s="12"/>
      <c r="T363" s="12"/>
      <c r="U363" s="10" t="str">
        <f>HYPERLINK("https://pbs.twimg.com/profile_images/1008131899510968325/aTGs5_Og.jpg","View")</f>
        <v>View</v>
      </c>
    </row>
    <row r="364" spans="1:21" ht="20.399999999999999">
      <c r="A364" s="6">
        <v>43426.794456018513</v>
      </c>
      <c r="B364" s="7" t="str">
        <f>HYPERLINK("https://twitter.com/Selimelturco","@Selimelturco")</f>
        <v>@Selimelturco</v>
      </c>
      <c r="C364" s="8" t="s">
        <v>2082</v>
      </c>
      <c r="D364" s="9" t="s">
        <v>2083</v>
      </c>
      <c r="E364" s="10" t="str">
        <f>HYPERLINK("https://twitter.com/Selimelturco/status/1065667230984257538","1065667230984257538")</f>
        <v>1065667230984257538</v>
      </c>
      <c r="F364" s="12"/>
      <c r="G364" s="12"/>
      <c r="H364" s="12"/>
      <c r="I364" s="13">
        <v>0</v>
      </c>
      <c r="J364" s="13">
        <v>3</v>
      </c>
      <c r="K364" s="14" t="str">
        <f>HYPERLINK("http://twitter.com","Twitter Web Client")</f>
        <v>Twitter Web Client</v>
      </c>
      <c r="L364" s="13">
        <v>2728</v>
      </c>
      <c r="M364" s="13">
        <v>331</v>
      </c>
      <c r="N364" s="13">
        <v>24</v>
      </c>
      <c r="O364" s="15"/>
      <c r="P364" s="6">
        <v>42716.484513888892</v>
      </c>
      <c r="Q364" s="16" t="s">
        <v>2085</v>
      </c>
      <c r="R364" s="17" t="s">
        <v>2086</v>
      </c>
      <c r="S364" s="11" t="s">
        <v>2087</v>
      </c>
      <c r="T364" s="12"/>
      <c r="U364" s="10" t="str">
        <f>HYPERLINK("https://pbs.twimg.com/profile_images/1057908398145110016/f4Tr1Dvc.jpg","View")</f>
        <v>View</v>
      </c>
    </row>
    <row r="365" spans="1:21" ht="91.8">
      <c r="A365" s="6">
        <v>43426.793819444443</v>
      </c>
      <c r="B365" s="7" t="str">
        <f>HYPERLINK("https://twitter.com/minoico_","@minoico_")</f>
        <v>@minoico_</v>
      </c>
      <c r="C365" s="8" t="s">
        <v>1028</v>
      </c>
      <c r="D365" s="9" t="s">
        <v>1034</v>
      </c>
      <c r="E365" s="10" t="str">
        <f>HYPERLINK("https://twitter.com/minoico_/status/1065666999718739968","1065666999718739968")</f>
        <v>1065666999718739968</v>
      </c>
      <c r="F365" s="16" t="s">
        <v>1035</v>
      </c>
      <c r="G365" s="12"/>
      <c r="H365" s="12"/>
      <c r="I365" s="13">
        <v>1</v>
      </c>
      <c r="J365" s="13">
        <v>0</v>
      </c>
      <c r="K365" s="14" t="str">
        <f>HYPERLINK("http://twitter.com/download/android","Twitter for Android")</f>
        <v>Twitter for Android</v>
      </c>
      <c r="L365" s="13">
        <v>962</v>
      </c>
      <c r="M365" s="13">
        <v>774</v>
      </c>
      <c r="N365" s="13">
        <v>36</v>
      </c>
      <c r="O365" s="15"/>
      <c r="P365" s="6">
        <v>42079.631747685184</v>
      </c>
      <c r="Q365" s="16" t="s">
        <v>1036</v>
      </c>
      <c r="R365" s="17" t="s">
        <v>1037</v>
      </c>
      <c r="S365" s="11" t="s">
        <v>1038</v>
      </c>
      <c r="T365" s="12"/>
      <c r="U365" s="10" t="str">
        <f>HYPERLINK("https://pbs.twimg.com/profile_images/985942583326191617/yTXmAKXY.jpg","View")</f>
        <v>View</v>
      </c>
    </row>
    <row r="366" spans="1:21" ht="20.399999999999999">
      <c r="A366" s="6">
        <v>43426.792129629626</v>
      </c>
      <c r="B366" s="7" t="str">
        <f>HYPERLINK("https://twitter.com/Trompeta36","@Trompeta36")</f>
        <v>@Trompeta36</v>
      </c>
      <c r="C366" s="8" t="s">
        <v>2099</v>
      </c>
      <c r="D366" s="9" t="s">
        <v>2100</v>
      </c>
      <c r="E366" s="10" t="str">
        <f>HYPERLINK("https://twitter.com/Trompeta36/status/1065666387035791360","1065666387035791360")</f>
        <v>1065666387035791360</v>
      </c>
      <c r="F366" s="11" t="s">
        <v>2103</v>
      </c>
      <c r="G366" s="12"/>
      <c r="H366" s="12"/>
      <c r="I366" s="13">
        <v>0</v>
      </c>
      <c r="J366" s="13">
        <v>0</v>
      </c>
      <c r="K366" s="14" t="str">
        <f>HYPERLINK("http://www.facebook.com/twitter","Facebook")</f>
        <v>Facebook</v>
      </c>
      <c r="L366" s="13">
        <v>2262</v>
      </c>
      <c r="M366" s="13">
        <v>2952</v>
      </c>
      <c r="N366" s="13">
        <v>0</v>
      </c>
      <c r="O366" s="15"/>
      <c r="P366" s="6">
        <v>40835.551631944443</v>
      </c>
      <c r="Q366" s="16" t="s">
        <v>2106</v>
      </c>
      <c r="R366" s="17" t="s">
        <v>2107</v>
      </c>
      <c r="S366" s="12"/>
      <c r="T366" s="12"/>
      <c r="U366" s="10" t="str">
        <f>HYPERLINK("https://pbs.twimg.com/profile_images/723132334489346048/JJaObwC9.jpg","View")</f>
        <v>View</v>
      </c>
    </row>
    <row r="367" spans="1:21" ht="30.6">
      <c r="A367" s="6">
        <v>43426.791574074072</v>
      </c>
      <c r="B367" s="7" t="str">
        <f>HYPERLINK("https://twitter.com/jesus_pga","@jesus_pga")</f>
        <v>@jesus_pga</v>
      </c>
      <c r="C367" s="8" t="s">
        <v>887</v>
      </c>
      <c r="D367" s="9" t="s">
        <v>1040</v>
      </c>
      <c r="E367" s="10" t="str">
        <f>HYPERLINK("https://twitter.com/jesus_pga/status/1065666183872086016","1065666183872086016")</f>
        <v>1065666183872086016</v>
      </c>
      <c r="F367" s="11" t="s">
        <v>1042</v>
      </c>
      <c r="G367" s="12"/>
      <c r="H367" s="12"/>
      <c r="I367" s="13">
        <v>0</v>
      </c>
      <c r="J367" s="13">
        <v>0</v>
      </c>
      <c r="K367" s="14" t="str">
        <f t="shared" ref="K367:K368" si="72">HYPERLINK("http://twitter.com/download/android","Twitter for Android")</f>
        <v>Twitter for Android</v>
      </c>
      <c r="L367" s="13">
        <v>210</v>
      </c>
      <c r="M367" s="13">
        <v>178</v>
      </c>
      <c r="N367" s="13">
        <v>8</v>
      </c>
      <c r="O367" s="15"/>
      <c r="P367" s="6">
        <v>41858.374571759261</v>
      </c>
      <c r="Q367" s="16" t="s">
        <v>889</v>
      </c>
      <c r="R367" s="17" t="s">
        <v>890</v>
      </c>
      <c r="S367" s="12"/>
      <c r="T367" s="12"/>
      <c r="U367" s="10" t="str">
        <f>HYPERLINK("https://pbs.twimg.com/profile_images/753002159583690753/E47aRUdS.jpg","View")</f>
        <v>View</v>
      </c>
    </row>
    <row r="368" spans="1:21" ht="40.799999999999997">
      <c r="A368" s="6">
        <v>43426.790162037039</v>
      </c>
      <c r="B368" s="7" t="str">
        <f>HYPERLINK("https://twitter.com/Mike_Huesca2012","@Mike_Huesca2012")</f>
        <v>@Mike_Huesca2012</v>
      </c>
      <c r="C368" s="8" t="s">
        <v>1045</v>
      </c>
      <c r="D368" s="9" t="s">
        <v>1047</v>
      </c>
      <c r="E368" s="10" t="str">
        <f>HYPERLINK("https://twitter.com/Mike_Huesca2012/status/1065665674155094016","1065665674155094016")</f>
        <v>1065665674155094016</v>
      </c>
      <c r="F368" s="11" t="s">
        <v>635</v>
      </c>
      <c r="G368" s="12"/>
      <c r="H368" s="12"/>
      <c r="I368" s="13">
        <v>0</v>
      </c>
      <c r="J368" s="13">
        <v>0</v>
      </c>
      <c r="K368" s="14" t="str">
        <f t="shared" si="72"/>
        <v>Twitter for Android</v>
      </c>
      <c r="L368" s="13">
        <v>693</v>
      </c>
      <c r="M368" s="13">
        <v>879</v>
      </c>
      <c r="N368" s="13">
        <v>0</v>
      </c>
      <c r="O368" s="15"/>
      <c r="P368" s="6">
        <v>42819.395625000005</v>
      </c>
      <c r="Q368" s="16" t="s">
        <v>1050</v>
      </c>
      <c r="R368" s="17" t="s">
        <v>1051</v>
      </c>
      <c r="S368" s="12"/>
      <c r="T368" s="12"/>
      <c r="U368" s="10" t="str">
        <f>HYPERLINK("https://pbs.twimg.com/profile_images/1000831795343056899/oZU8JmKA.jpg","View")</f>
        <v>View</v>
      </c>
    </row>
    <row r="369" spans="1:21" ht="20.399999999999999">
      <c r="A369" s="6">
        <v>43426.789907407408</v>
      </c>
      <c r="B369" s="7" t="str">
        <f>HYPERLINK("https://twitter.com/7e136f8a7f10435","@7e136f8a7f10435")</f>
        <v>@7e136f8a7f10435</v>
      </c>
      <c r="C369" s="8" t="s">
        <v>2119</v>
      </c>
      <c r="D369" s="9" t="s">
        <v>632</v>
      </c>
      <c r="E369" s="10" t="str">
        <f>HYPERLINK("https://twitter.com/7e136f8a7f10435/status/1065665583058952192","1065665583058952192")</f>
        <v>1065665583058952192</v>
      </c>
      <c r="F369" s="11" t="s">
        <v>635</v>
      </c>
      <c r="G369" s="12"/>
      <c r="H369" s="12"/>
      <c r="I369" s="13">
        <v>0</v>
      </c>
      <c r="J369" s="13">
        <v>0</v>
      </c>
      <c r="K369" s="14" t="str">
        <f>HYPERLINK("http://twitter.com","Twitter Web Client")</f>
        <v>Twitter Web Client</v>
      </c>
      <c r="L369" s="13">
        <v>25</v>
      </c>
      <c r="M369" s="13">
        <v>482</v>
      </c>
      <c r="N369" s="13">
        <v>0</v>
      </c>
      <c r="O369" s="15"/>
      <c r="P369" s="6">
        <v>42118.820937500001</v>
      </c>
      <c r="Q369" s="12"/>
      <c r="R369" s="19"/>
      <c r="S369" s="12"/>
      <c r="T369" s="12"/>
      <c r="U369" s="10" t="str">
        <f>HYPERLINK("https://pbs.twimg.com/profile_images/848282692428890112/wlmSO_DO.jpg","View")</f>
        <v>View</v>
      </c>
    </row>
    <row r="370" spans="1:21" ht="30.6">
      <c r="A370" s="6">
        <v>43426.788020833337</v>
      </c>
      <c r="B370" s="7" t="str">
        <f>HYPERLINK("https://twitter.com/HuescaMvg","@HuescaMvg")</f>
        <v>@HuescaMvg</v>
      </c>
      <c r="C370" s="8" t="s">
        <v>2124</v>
      </c>
      <c r="D370" s="9" t="s">
        <v>2125</v>
      </c>
      <c r="E370" s="10" t="str">
        <f>HYPERLINK("https://twitter.com/HuescaMvg/status/1065664897478991878","1065664897478991878")</f>
        <v>1065664897478991878</v>
      </c>
      <c r="F370" s="11" t="s">
        <v>635</v>
      </c>
      <c r="G370" s="12"/>
      <c r="H370" s="12"/>
      <c r="I370" s="13">
        <v>0</v>
      </c>
      <c r="J370" s="13">
        <v>0</v>
      </c>
      <c r="K370" s="14" t="str">
        <f>HYPERLINK("http://twitter.com/download/android","Twitter for Android")</f>
        <v>Twitter for Android</v>
      </c>
      <c r="L370" s="13">
        <v>26</v>
      </c>
      <c r="M370" s="13">
        <v>23</v>
      </c>
      <c r="N370" s="13">
        <v>0</v>
      </c>
      <c r="O370" s="15"/>
      <c r="P370" s="6">
        <v>43410.919687500005</v>
      </c>
      <c r="Q370" s="12"/>
      <c r="R370" s="17" t="s">
        <v>2129</v>
      </c>
      <c r="S370" s="12"/>
      <c r="T370" s="12"/>
      <c r="U370" s="10" t="str">
        <f>HYPERLINK("https://pbs.twimg.com/profile_images/1059916693940682752/Get8LKlP.jpg","View")</f>
        <v>View</v>
      </c>
    </row>
    <row r="371" spans="1:21" ht="30.6">
      <c r="A371" s="6">
        <v>43426.786516203705</v>
      </c>
      <c r="B371" s="7" t="str">
        <f>HYPERLINK("https://twitter.com/JosMorey","@JosMorey")</f>
        <v>@JosMorey</v>
      </c>
      <c r="C371" s="8" t="s">
        <v>2133</v>
      </c>
      <c r="D371" s="9" t="s">
        <v>1465</v>
      </c>
      <c r="E371" s="10" t="str">
        <f>HYPERLINK("https://twitter.com/JosMorey/status/1065664354958352384","1065664354958352384")</f>
        <v>1065664354958352384</v>
      </c>
      <c r="F371" s="11" t="s">
        <v>635</v>
      </c>
      <c r="G371" s="12"/>
      <c r="H371" s="12"/>
      <c r="I371" s="13">
        <v>0</v>
      </c>
      <c r="J371" s="13">
        <v>0</v>
      </c>
      <c r="K371" s="14" t="str">
        <f>HYPERLINK("http://twitter.com/download/iphone","Twitter for iPhone")</f>
        <v>Twitter for iPhone</v>
      </c>
      <c r="L371" s="13">
        <v>177</v>
      </c>
      <c r="M371" s="13">
        <v>394</v>
      </c>
      <c r="N371" s="13">
        <v>0</v>
      </c>
      <c r="O371" s="15"/>
      <c r="P371" s="6">
        <v>40673.506874999999</v>
      </c>
      <c r="Q371" s="16" t="s">
        <v>37</v>
      </c>
      <c r="R371" s="17" t="s">
        <v>2136</v>
      </c>
      <c r="S371" s="12"/>
      <c r="T371" s="12"/>
      <c r="U371" s="10" t="str">
        <f>HYPERLINK("https://pbs.twimg.com/profile_images/1053355280614989829/kA5LNOnB.jpg","View")</f>
        <v>View</v>
      </c>
    </row>
    <row r="372" spans="1:21" ht="51">
      <c r="A372" s="6">
        <v>43426.786354166667</v>
      </c>
      <c r="B372" s="7" t="str">
        <f>HYPERLINK("https://twitter.com/52municipios","@52municipios")</f>
        <v>@52municipios</v>
      </c>
      <c r="C372" s="8" t="s">
        <v>2139</v>
      </c>
      <c r="D372" s="9" t="s">
        <v>2140</v>
      </c>
      <c r="E372" s="10" t="str">
        <f>HYPERLINK("https://twitter.com/52municipios/status/1065664296120737792","1065664296120737792")</f>
        <v>1065664296120737792</v>
      </c>
      <c r="F372" s="12"/>
      <c r="G372" s="12"/>
      <c r="H372" s="12"/>
      <c r="I372" s="13">
        <v>51</v>
      </c>
      <c r="J372" s="13">
        <v>62</v>
      </c>
      <c r="K372" s="14" t="str">
        <f>HYPERLINK("http://twitter.com","Twitter Web Client")</f>
        <v>Twitter Web Client</v>
      </c>
      <c r="L372" s="13">
        <v>14789</v>
      </c>
      <c r="M372" s="13">
        <v>10454</v>
      </c>
      <c r="N372" s="13">
        <v>94</v>
      </c>
      <c r="O372" s="15"/>
      <c r="P372" s="6">
        <v>40982.798530092594</v>
      </c>
      <c r="Q372" s="16" t="s">
        <v>2144</v>
      </c>
      <c r="R372" s="17" t="s">
        <v>2145</v>
      </c>
      <c r="S372" s="11" t="s">
        <v>2146</v>
      </c>
      <c r="T372" s="12"/>
      <c r="U372" s="10" t="str">
        <f>HYPERLINK("https://pbs.twimg.com/profile_images/754954583374462976/nX2Tdx1P.jpg","View")</f>
        <v>View</v>
      </c>
    </row>
    <row r="373" spans="1:21" ht="40.799999999999997">
      <c r="A373" s="6">
        <v>43426.784351851849</v>
      </c>
      <c r="B373" s="7" t="str">
        <f>HYPERLINK("https://twitter.com/gestholtur","@gestholtur")</f>
        <v>@gestholtur</v>
      </c>
      <c r="C373" s="8" t="s">
        <v>157</v>
      </c>
      <c r="D373" s="9" t="s">
        <v>2149</v>
      </c>
      <c r="E373" s="10" t="str">
        <f>HYPERLINK("https://twitter.com/gestholtur/status/1065663570069864448","1065663570069864448")</f>
        <v>1065663570069864448</v>
      </c>
      <c r="F373" s="11" t="s">
        <v>2150</v>
      </c>
      <c r="G373" s="12"/>
      <c r="H373" s="12"/>
      <c r="I373" s="13">
        <v>0</v>
      </c>
      <c r="J373" s="13">
        <v>0</v>
      </c>
      <c r="K373" s="14" t="str">
        <f>HYPERLINK("http://www.facebook.com/twitter","Facebook")</f>
        <v>Facebook</v>
      </c>
      <c r="L373" s="13">
        <v>194</v>
      </c>
      <c r="M373" s="13">
        <v>405</v>
      </c>
      <c r="N373" s="13">
        <v>4</v>
      </c>
      <c r="O373" s="15"/>
      <c r="P373" s="6">
        <v>40358.03329861111</v>
      </c>
      <c r="Q373" s="12"/>
      <c r="R373" s="17" t="s">
        <v>159</v>
      </c>
      <c r="S373" s="12"/>
      <c r="T373" s="12"/>
      <c r="U373" s="10" t="str">
        <f>HYPERLINK("https://pbs.twimg.com/profile_images/962452150147256320/NSGeub5v.jpg","View")</f>
        <v>View</v>
      </c>
    </row>
    <row r="374" spans="1:21" ht="20.399999999999999">
      <c r="A374" s="6">
        <v>43426.783692129626</v>
      </c>
      <c r="B374" s="7" t="str">
        <f>HYPERLINK("https://twitter.com/paxugonzalez","@paxugonzalez")</f>
        <v>@paxugonzalez</v>
      </c>
      <c r="C374" s="8" t="s">
        <v>2154</v>
      </c>
      <c r="D374" s="9" t="s">
        <v>1041</v>
      </c>
      <c r="E374" s="10" t="str">
        <f>HYPERLINK("https://twitter.com/paxugonzalez/status/1065663331623755776","1065663331623755776")</f>
        <v>1065663331623755776</v>
      </c>
      <c r="F374" s="11" t="s">
        <v>223</v>
      </c>
      <c r="G374" s="12"/>
      <c r="H374" s="12"/>
      <c r="I374" s="13">
        <v>0</v>
      </c>
      <c r="J374" s="13">
        <v>0</v>
      </c>
      <c r="K374" s="14" t="str">
        <f t="shared" ref="K374:K375" si="73">HYPERLINK("http://twitter.com","Twitter Web Client")</f>
        <v>Twitter Web Client</v>
      </c>
      <c r="L374" s="13">
        <v>71</v>
      </c>
      <c r="M374" s="13">
        <v>122</v>
      </c>
      <c r="N374" s="13">
        <v>1</v>
      </c>
      <c r="O374" s="15"/>
      <c r="P374" s="6">
        <v>43017.003518518519</v>
      </c>
      <c r="Q374" s="12"/>
      <c r="R374" s="19"/>
      <c r="S374" s="12"/>
      <c r="T374" s="12"/>
      <c r="U374" s="10" t="str">
        <f>HYPERLINK("https://pbs.twimg.com/profile_images/957381051298533376/OQcOeOq_.jpg","View")</f>
        <v>View</v>
      </c>
    </row>
    <row r="375" spans="1:21" ht="61.2">
      <c r="A375" s="6">
        <v>43426.782233796301</v>
      </c>
      <c r="B375" s="7" t="str">
        <f>HYPERLINK("https://twitter.com/HMismisimo","@HMismisimo")</f>
        <v>@HMismisimo</v>
      </c>
      <c r="C375" s="8" t="s">
        <v>1053</v>
      </c>
      <c r="D375" s="9" t="s">
        <v>1054</v>
      </c>
      <c r="E375" s="10" t="str">
        <f>HYPERLINK("https://twitter.com/HMismisimo/status/1065662800108900352","1065662800108900352")</f>
        <v>1065662800108900352</v>
      </c>
      <c r="F375" s="12"/>
      <c r="G375" s="12"/>
      <c r="H375" s="12"/>
      <c r="I375" s="13">
        <v>0</v>
      </c>
      <c r="J375" s="13">
        <v>0</v>
      </c>
      <c r="K375" s="14" t="str">
        <f t="shared" si="73"/>
        <v>Twitter Web Client</v>
      </c>
      <c r="L375" s="13">
        <v>1</v>
      </c>
      <c r="M375" s="13">
        <v>7</v>
      </c>
      <c r="N375" s="13">
        <v>0</v>
      </c>
      <c r="O375" s="15"/>
      <c r="P375" s="6">
        <v>43376.991168981476</v>
      </c>
      <c r="Q375" s="12"/>
      <c r="R375" s="19"/>
      <c r="S375" s="12"/>
      <c r="T375" s="12"/>
      <c r="U375" s="10" t="str">
        <f>HYPERLINK("https://pbs.twimg.com/profile_images/1055140998437916673/AElqw44d.jpg","View")</f>
        <v>View</v>
      </c>
    </row>
    <row r="376" spans="1:21" ht="51">
      <c r="A376" s="6">
        <v>43426.782002314816</v>
      </c>
      <c r="B376" s="7" t="str">
        <f>HYPERLINK("https://twitter.com/gerardgomezf","@gerardgomezf")</f>
        <v>@gerardgomezf</v>
      </c>
      <c r="C376" s="8" t="s">
        <v>2159</v>
      </c>
      <c r="D376" s="9" t="s">
        <v>2160</v>
      </c>
      <c r="E376" s="10" t="str">
        <f>HYPERLINK("https://twitter.com/gerardgomezf/status/1065662717082652675","1065662717082652675")</f>
        <v>1065662717082652675</v>
      </c>
      <c r="F376" s="12"/>
      <c r="G376" s="11" t="s">
        <v>40</v>
      </c>
      <c r="H376" s="12"/>
      <c r="I376" s="13">
        <v>687</v>
      </c>
      <c r="J376" s="13">
        <v>1173</v>
      </c>
      <c r="K376" s="14" t="str">
        <f t="shared" ref="K376:K377" si="74">HYPERLINK("http://twitter.com/download/android","Twitter for Android")</f>
        <v>Twitter for Android</v>
      </c>
      <c r="L376" s="13">
        <v>15603</v>
      </c>
      <c r="M376" s="13">
        <v>2216</v>
      </c>
      <c r="N376" s="13">
        <v>183</v>
      </c>
      <c r="O376" s="15"/>
      <c r="P376" s="6">
        <v>39582.015613425923</v>
      </c>
      <c r="Q376" s="16" t="s">
        <v>2163</v>
      </c>
      <c r="R376" s="17" t="s">
        <v>2164</v>
      </c>
      <c r="S376" s="11" t="s">
        <v>2165</v>
      </c>
      <c r="T376" s="12"/>
      <c r="U376" s="10" t="str">
        <f>HYPERLINK("https://pbs.twimg.com/profile_images/1458670313/foto_perfil.jpg","View")</f>
        <v>View</v>
      </c>
    </row>
    <row r="377" spans="1:21" ht="51">
      <c r="A377" s="6">
        <v>43426.781273148154</v>
      </c>
      <c r="B377" s="7" t="str">
        <f>HYPERLINK("https://twitter.com/juluniver","@juluniver")</f>
        <v>@juluniver</v>
      </c>
      <c r="C377" s="8" t="s">
        <v>368</v>
      </c>
      <c r="D377" s="9" t="s">
        <v>1055</v>
      </c>
      <c r="E377" s="10" t="str">
        <f>HYPERLINK("https://twitter.com/juluniver/status/1065662452573093889","1065662452573093889")</f>
        <v>1065662452573093889</v>
      </c>
      <c r="F377" s="11" t="s">
        <v>1056</v>
      </c>
      <c r="G377" s="12"/>
      <c r="H377" s="12"/>
      <c r="I377" s="13">
        <v>0</v>
      </c>
      <c r="J377" s="13">
        <v>0</v>
      </c>
      <c r="K377" s="14" t="str">
        <f t="shared" si="74"/>
        <v>Twitter for Android</v>
      </c>
      <c r="L377" s="13">
        <v>143</v>
      </c>
      <c r="M377" s="13">
        <v>91</v>
      </c>
      <c r="N377" s="13">
        <v>2</v>
      </c>
      <c r="O377" s="15"/>
      <c r="P377" s="6">
        <v>42166.543541666666</v>
      </c>
      <c r="Q377" s="16" t="s">
        <v>371</v>
      </c>
      <c r="R377" s="17" t="s">
        <v>372</v>
      </c>
      <c r="S377" s="12"/>
      <c r="T377" s="12"/>
      <c r="U377" s="10" t="str">
        <f>HYPERLINK("https://pbs.twimg.com/profile_images/847880241892777992/Krxx7fp-.jpg","View")</f>
        <v>View</v>
      </c>
    </row>
    <row r="378" spans="1:21" ht="40.799999999999997">
      <c r="A378" s="6">
        <v>43426.778553240743</v>
      </c>
      <c r="B378" s="7" t="str">
        <f>HYPERLINK("https://twitter.com/protestona1","@protestona1")</f>
        <v>@protestona1</v>
      </c>
      <c r="C378" s="8" t="s">
        <v>1078</v>
      </c>
      <c r="D378" s="9" t="s">
        <v>2171</v>
      </c>
      <c r="E378" s="10" t="str">
        <f>HYPERLINK("https://twitter.com/protestona1/status/1065661468241215488","1065661468241215488")</f>
        <v>1065661468241215488</v>
      </c>
      <c r="F378" s="11" t="s">
        <v>2174</v>
      </c>
      <c r="G378" s="12"/>
      <c r="H378" s="12"/>
      <c r="I378" s="13">
        <v>18</v>
      </c>
      <c r="J378" s="13">
        <v>37</v>
      </c>
      <c r="K378" s="14" t="str">
        <f>HYPERLINK("http://twitter.com","Twitter Web Client")</f>
        <v>Twitter Web Client</v>
      </c>
      <c r="L378" s="13">
        <v>151542</v>
      </c>
      <c r="M378" s="13">
        <v>2210</v>
      </c>
      <c r="N378" s="13">
        <v>4</v>
      </c>
      <c r="O378" s="15"/>
      <c r="P378" s="6">
        <v>41352.82136574074</v>
      </c>
      <c r="Q378" s="16" t="s">
        <v>662</v>
      </c>
      <c r="R378" s="17" t="s">
        <v>1082</v>
      </c>
      <c r="S378" s="11" t="s">
        <v>1083</v>
      </c>
      <c r="T378" s="12"/>
      <c r="U378" s="10" t="str">
        <f>HYPERLINK("https://pbs.twimg.com/profile_images/1014938895501463552/_oCE6Q1b.jpg","View")</f>
        <v>View</v>
      </c>
    </row>
    <row r="379" spans="1:21" ht="20.399999999999999">
      <c r="A379" s="6">
        <v>43426.778379629628</v>
      </c>
      <c r="B379" s="7" t="str">
        <f>HYPERLINK("https://twitter.com/guillesobotka","@guillesobotka")</f>
        <v>@guillesobotka</v>
      </c>
      <c r="C379" s="8" t="s">
        <v>2178</v>
      </c>
      <c r="D379" s="9" t="s">
        <v>632</v>
      </c>
      <c r="E379" s="10" t="str">
        <f>HYPERLINK("https://twitter.com/guillesobotka/status/1065661403711893504","1065661403711893504")</f>
        <v>1065661403711893504</v>
      </c>
      <c r="F379" s="11" t="s">
        <v>635</v>
      </c>
      <c r="G379" s="12"/>
      <c r="H379" s="12"/>
      <c r="I379" s="13">
        <v>0</v>
      </c>
      <c r="J379" s="13">
        <v>0</v>
      </c>
      <c r="K379" s="14" t="str">
        <f t="shared" ref="K379:K380" si="75">HYPERLINK("http://twitter.com/download/android","Twitter for Android")</f>
        <v>Twitter for Android</v>
      </c>
      <c r="L379" s="13">
        <v>92</v>
      </c>
      <c r="M379" s="13">
        <v>389</v>
      </c>
      <c r="N379" s="13">
        <v>2</v>
      </c>
      <c r="O379" s="15"/>
      <c r="P379" s="6">
        <v>41423.082245370373</v>
      </c>
      <c r="Q379" s="12"/>
      <c r="R379" s="19"/>
      <c r="S379" s="12"/>
      <c r="T379" s="12"/>
      <c r="U379" s="18" t="s">
        <v>559</v>
      </c>
    </row>
    <row r="380" spans="1:21" ht="51">
      <c r="A380" s="6">
        <v>43426.777881944443</v>
      </c>
      <c r="B380" s="7" t="str">
        <f>HYPERLINK("https://twitter.com/MERLINCU","@MERLINCU")</f>
        <v>@MERLINCU</v>
      </c>
      <c r="C380" s="20" t="s">
        <v>1057</v>
      </c>
      <c r="D380" s="9" t="s">
        <v>1058</v>
      </c>
      <c r="E380" s="10" t="str">
        <f>HYPERLINK("https://twitter.com/MERLINCU/status/1065661225869197314","1065661225869197314")</f>
        <v>1065661225869197314</v>
      </c>
      <c r="F380" s="11" t="s">
        <v>1059</v>
      </c>
      <c r="G380" s="11" t="s">
        <v>1060</v>
      </c>
      <c r="H380" s="12"/>
      <c r="I380" s="13">
        <v>0</v>
      </c>
      <c r="J380" s="13">
        <v>0</v>
      </c>
      <c r="K380" s="14" t="str">
        <f t="shared" si="75"/>
        <v>Twitter for Android</v>
      </c>
      <c r="L380" s="13">
        <v>127</v>
      </c>
      <c r="M380" s="13">
        <v>268</v>
      </c>
      <c r="N380" s="13">
        <v>2</v>
      </c>
      <c r="O380" s="15"/>
      <c r="P380" s="6">
        <v>40286.013368055559</v>
      </c>
      <c r="Q380" s="16" t="s">
        <v>1061</v>
      </c>
      <c r="R380" s="17" t="s">
        <v>1062</v>
      </c>
      <c r="S380" s="12"/>
      <c r="T380" s="12"/>
      <c r="U380" s="10" t="str">
        <f>HYPERLINK("https://pbs.twimg.com/profile_images/473441673481957376/oz67Va94.png","View")</f>
        <v>View</v>
      </c>
    </row>
    <row r="381" spans="1:21" ht="30.6">
      <c r="A381" s="6">
        <v>43426.774305555555</v>
      </c>
      <c r="B381" s="7" t="str">
        <f>HYPERLINK("https://twitter.com/CsLaRioja","@CsLaRioja")</f>
        <v>@CsLaRioja</v>
      </c>
      <c r="C381" s="8" t="s">
        <v>1000</v>
      </c>
      <c r="D381" s="9" t="s">
        <v>1063</v>
      </c>
      <c r="E381" s="10" t="str">
        <f>HYPERLINK("https://twitter.com/CsLaRioja/status/1065659927732150274","1065659927732150274")</f>
        <v>1065659927732150274</v>
      </c>
      <c r="F381" s="11" t="s">
        <v>1064</v>
      </c>
      <c r="G381" s="11" t="s">
        <v>1065</v>
      </c>
      <c r="H381" s="12"/>
      <c r="I381" s="13">
        <v>2</v>
      </c>
      <c r="J381" s="13">
        <v>3</v>
      </c>
      <c r="K381" s="14" t="str">
        <f>HYPERLINK("https://about.twitter.com/products/tweetdeck","TweetDeck")</f>
        <v>TweetDeck</v>
      </c>
      <c r="L381" s="13">
        <v>4219</v>
      </c>
      <c r="M381" s="13">
        <v>1618</v>
      </c>
      <c r="N381" s="13">
        <v>83</v>
      </c>
      <c r="O381" s="18" t="s">
        <v>36</v>
      </c>
      <c r="P381" s="6">
        <v>41950.884421296294</v>
      </c>
      <c r="Q381" s="16" t="s">
        <v>1007</v>
      </c>
      <c r="R381" s="17" t="s">
        <v>1008</v>
      </c>
      <c r="S381" s="11" t="s">
        <v>1009</v>
      </c>
      <c r="T381" s="12"/>
      <c r="U381" s="10" t="str">
        <f>HYPERLINK("https://pbs.twimg.com/profile_images/1053530865739988993/qxMztW6q.jpg","View")</f>
        <v>View</v>
      </c>
    </row>
    <row r="382" spans="1:21" ht="20.399999999999999">
      <c r="A382" s="6">
        <v>43426.773842592593</v>
      </c>
      <c r="B382" s="7" t="str">
        <f>HYPERLINK("https://twitter.com/manuelfordalva1","@manuelfordalva1")</f>
        <v>@manuelfordalva1</v>
      </c>
      <c r="C382" s="8" t="s">
        <v>2193</v>
      </c>
      <c r="D382" s="9" t="s">
        <v>2194</v>
      </c>
      <c r="E382" s="10" t="str">
        <f>HYPERLINK("https://twitter.com/manuelfordalva1/status/1065659760115105792","1065659760115105792")</f>
        <v>1065659760115105792</v>
      </c>
      <c r="F382" s="11" t="s">
        <v>2195</v>
      </c>
      <c r="G382" s="12"/>
      <c r="H382" s="12"/>
      <c r="I382" s="13">
        <v>0</v>
      </c>
      <c r="J382" s="13">
        <v>0</v>
      </c>
      <c r="K382" s="14" t="str">
        <f>HYPERLINK("http://twitter.com/download/android","Twitter for Android")</f>
        <v>Twitter for Android</v>
      </c>
      <c r="L382" s="13">
        <v>158</v>
      </c>
      <c r="M382" s="13">
        <v>451</v>
      </c>
      <c r="N382" s="13">
        <v>3</v>
      </c>
      <c r="O382" s="15"/>
      <c r="P382" s="6">
        <v>41953.971215277779</v>
      </c>
      <c r="Q382" s="16" t="s">
        <v>2198</v>
      </c>
      <c r="R382" s="19"/>
      <c r="S382" s="12"/>
      <c r="T382" s="12"/>
      <c r="U382" s="18" t="s">
        <v>559</v>
      </c>
    </row>
    <row r="383" spans="1:21" ht="40.799999999999997">
      <c r="A383" s="6">
        <v>43426.773472222223</v>
      </c>
      <c r="B383" s="7" t="str">
        <f>HYPERLINK("https://twitter.com/migupelo2","@migupelo2")</f>
        <v>@migupelo2</v>
      </c>
      <c r="C383" s="8" t="s">
        <v>29</v>
      </c>
      <c r="D383" s="9" t="s">
        <v>1067</v>
      </c>
      <c r="E383" s="10" t="str">
        <f>HYPERLINK("https://twitter.com/migupelo2/status/1065659628036505606","1065659628036505606")</f>
        <v>1065659628036505606</v>
      </c>
      <c r="F383" s="11" t="s">
        <v>1068</v>
      </c>
      <c r="G383" s="12"/>
      <c r="H383" s="12"/>
      <c r="I383" s="13">
        <v>0</v>
      </c>
      <c r="J383" s="13">
        <v>0</v>
      </c>
      <c r="K383" s="14" t="str">
        <f>HYPERLINK("http://twitter.com","Twitter Web Client")</f>
        <v>Twitter Web Client</v>
      </c>
      <c r="L383" s="13">
        <v>264</v>
      </c>
      <c r="M383" s="13">
        <v>760</v>
      </c>
      <c r="N383" s="13">
        <v>18</v>
      </c>
      <c r="O383" s="15"/>
      <c r="P383" s="6">
        <v>40477.868043981478</v>
      </c>
      <c r="Q383" s="12"/>
      <c r="R383" s="17" t="s">
        <v>32</v>
      </c>
      <c r="S383" s="12"/>
      <c r="T383" s="12"/>
      <c r="U383" s="10" t="str">
        <f>HYPERLINK("https://pbs.twimg.com/profile_images/2906316440/4ed1570f50fd6f70f1b28d458997dd81.jpeg","View")</f>
        <v>View</v>
      </c>
    </row>
    <row r="384" spans="1:21" ht="30.6">
      <c r="A384" s="6">
        <v>43426.773206018523</v>
      </c>
      <c r="B384" s="7" t="str">
        <f>HYPERLINK("https://twitter.com/AlmudenaAlonso","@AlmudenaAlonso")</f>
        <v>@AlmudenaAlonso</v>
      </c>
      <c r="C384" s="8" t="s">
        <v>2202</v>
      </c>
      <c r="D384" s="9" t="s">
        <v>2203</v>
      </c>
      <c r="E384" s="10" t="str">
        <f>HYPERLINK("https://twitter.com/AlmudenaAlonso/status/1065659531420672001","1065659531420672001")</f>
        <v>1065659531420672001</v>
      </c>
      <c r="F384" s="11" t="s">
        <v>2206</v>
      </c>
      <c r="G384" s="12"/>
      <c r="H384" s="12"/>
      <c r="I384" s="13">
        <v>0</v>
      </c>
      <c r="J384" s="13">
        <v>0</v>
      </c>
      <c r="K384" s="14" t="str">
        <f>HYPERLINK("http://twitter.com/download/iphone","Twitter for iPhone")</f>
        <v>Twitter for iPhone</v>
      </c>
      <c r="L384" s="13">
        <v>263</v>
      </c>
      <c r="M384" s="13">
        <v>105</v>
      </c>
      <c r="N384" s="13">
        <v>4</v>
      </c>
      <c r="O384" s="15"/>
      <c r="P384" s="6">
        <v>39890.785752314812</v>
      </c>
      <c r="Q384" s="16" t="s">
        <v>2209</v>
      </c>
      <c r="R384" s="17" t="s">
        <v>2210</v>
      </c>
      <c r="S384" s="11" t="s">
        <v>2211</v>
      </c>
      <c r="T384" s="12"/>
      <c r="U384" s="10" t="str">
        <f>HYPERLINK("https://pbs.twimg.com/profile_images/858971319794364416/oR4AdB_P.jpg","View")</f>
        <v>View</v>
      </c>
    </row>
    <row r="385" spans="1:21" ht="40.799999999999997">
      <c r="A385" s="6">
        <v>43426.770821759259</v>
      </c>
      <c r="B385" s="7" t="str">
        <f>HYPERLINK("https://twitter.com/milkwasabad","@milkwasabad")</f>
        <v>@milkwasabad</v>
      </c>
      <c r="C385" s="8" t="s">
        <v>1072</v>
      </c>
      <c r="D385" s="9" t="s">
        <v>1073</v>
      </c>
      <c r="E385" s="10" t="str">
        <f>HYPERLINK("https://twitter.com/milkwasabad/status/1065658666282610688","1065658666282610688")</f>
        <v>1065658666282610688</v>
      </c>
      <c r="F385" s="12"/>
      <c r="G385" s="12"/>
      <c r="H385" s="12"/>
      <c r="I385" s="13">
        <v>0</v>
      </c>
      <c r="J385" s="13">
        <v>1</v>
      </c>
      <c r="K385" s="14" t="str">
        <f t="shared" ref="K385:K387" si="76">HYPERLINK("http://twitter.com","Twitter Web Client")</f>
        <v>Twitter Web Client</v>
      </c>
      <c r="L385" s="13">
        <v>1982</v>
      </c>
      <c r="M385" s="13">
        <v>779</v>
      </c>
      <c r="N385" s="13">
        <v>50</v>
      </c>
      <c r="O385" s="15"/>
      <c r="P385" s="6">
        <v>41747.473993055552</v>
      </c>
      <c r="Q385" s="16" t="s">
        <v>1076</v>
      </c>
      <c r="R385" s="26" t="s">
        <v>1077</v>
      </c>
      <c r="S385" s="12"/>
      <c r="T385" s="12"/>
      <c r="U385" s="10" t="str">
        <f>HYPERLINK("https://pbs.twimg.com/profile_images/946176724898926592/iGaNO5ua.jpg","View")</f>
        <v>View</v>
      </c>
    </row>
    <row r="386" spans="1:21" ht="40.799999999999997">
      <c r="A386" s="6">
        <v>43426.770729166667</v>
      </c>
      <c r="B386" s="7" t="str">
        <f>HYPERLINK("https://twitter.com/migupelo2","@migupelo2")</f>
        <v>@migupelo2</v>
      </c>
      <c r="C386" s="8" t="s">
        <v>29</v>
      </c>
      <c r="D386" s="9" t="s">
        <v>1080</v>
      </c>
      <c r="E386" s="10" t="str">
        <f>HYPERLINK("https://twitter.com/migupelo2/status/1065658630123544576","1065658630123544576")</f>
        <v>1065658630123544576</v>
      </c>
      <c r="F386" s="11" t="s">
        <v>1081</v>
      </c>
      <c r="G386" s="12"/>
      <c r="H386" s="12"/>
      <c r="I386" s="13">
        <v>0</v>
      </c>
      <c r="J386" s="13">
        <v>0</v>
      </c>
      <c r="K386" s="14" t="str">
        <f t="shared" si="76"/>
        <v>Twitter Web Client</v>
      </c>
      <c r="L386" s="13">
        <v>264</v>
      </c>
      <c r="M386" s="13">
        <v>760</v>
      </c>
      <c r="N386" s="13">
        <v>18</v>
      </c>
      <c r="O386" s="15"/>
      <c r="P386" s="6">
        <v>40477.868043981478</v>
      </c>
      <c r="Q386" s="12"/>
      <c r="R386" s="17" t="s">
        <v>32</v>
      </c>
      <c r="S386" s="12"/>
      <c r="T386" s="12"/>
      <c r="U386" s="10" t="str">
        <f>HYPERLINK("https://pbs.twimg.com/profile_images/2906316440/4ed1570f50fd6f70f1b28d458997dd81.jpeg","View")</f>
        <v>View</v>
      </c>
    </row>
    <row r="387" spans="1:21" ht="51">
      <c r="A387" s="6">
        <v>43426.767453703702</v>
      </c>
      <c r="B387" s="7" t="str">
        <f>HYPERLINK("https://twitter.com/Kiasyd","@Kiasyd")</f>
        <v>@Kiasyd</v>
      </c>
      <c r="C387" s="8" t="s">
        <v>1084</v>
      </c>
      <c r="D387" s="9" t="s">
        <v>1085</v>
      </c>
      <c r="E387" s="10" t="str">
        <f>HYPERLINK("https://twitter.com/Kiasyd/status/1065657443223576576","1065657443223576576")</f>
        <v>1065657443223576576</v>
      </c>
      <c r="F387" s="11" t="s">
        <v>1086</v>
      </c>
      <c r="G387" s="12"/>
      <c r="H387" s="12"/>
      <c r="I387" s="13">
        <v>0</v>
      </c>
      <c r="J387" s="13">
        <v>0</v>
      </c>
      <c r="K387" s="14" t="str">
        <f t="shared" si="76"/>
        <v>Twitter Web Client</v>
      </c>
      <c r="L387" s="13">
        <v>172</v>
      </c>
      <c r="M387" s="13">
        <v>182</v>
      </c>
      <c r="N387" s="13">
        <v>1</v>
      </c>
      <c r="O387" s="15"/>
      <c r="P387" s="6">
        <v>40809.824548611112</v>
      </c>
      <c r="Q387" s="16" t="s">
        <v>1087</v>
      </c>
      <c r="R387" s="17" t="s">
        <v>1088</v>
      </c>
      <c r="S387" s="12"/>
      <c r="T387" s="12"/>
      <c r="U387" s="10" t="str">
        <f>HYPERLINK("https://pbs.twimg.com/profile_images/1031563559510175746/Va9vPERh.jpg","View")</f>
        <v>View</v>
      </c>
    </row>
    <row r="388" spans="1:21" ht="30.6">
      <c r="A388" s="6">
        <v>43426.767083333332</v>
      </c>
      <c r="B388" s="7" t="str">
        <f>HYPERLINK("https://twitter.com/fgbfrancisco","@fgbfrancisco")</f>
        <v>@fgbfrancisco</v>
      </c>
      <c r="C388" s="8" t="s">
        <v>2226</v>
      </c>
      <c r="D388" s="9" t="s">
        <v>2227</v>
      </c>
      <c r="E388" s="10" t="str">
        <f>HYPERLINK("https://twitter.com/fgbfrancisco/status/1065657310381514752","1065657310381514752")</f>
        <v>1065657310381514752</v>
      </c>
      <c r="F388" s="11" t="s">
        <v>2206</v>
      </c>
      <c r="G388" s="12"/>
      <c r="H388" s="12"/>
      <c r="I388" s="13">
        <v>0</v>
      </c>
      <c r="J388" s="13">
        <v>0</v>
      </c>
      <c r="K388" s="14" t="str">
        <f>HYPERLINK("http://twitter.com/#!/download/ipad","Twitter for iPad")</f>
        <v>Twitter for iPad</v>
      </c>
      <c r="L388" s="13">
        <v>3720</v>
      </c>
      <c r="M388" s="13">
        <v>4862</v>
      </c>
      <c r="N388" s="13">
        <v>36</v>
      </c>
      <c r="O388" s="15"/>
      <c r="P388" s="6">
        <v>41240.960752314815</v>
      </c>
      <c r="Q388" s="16" t="s">
        <v>2229</v>
      </c>
      <c r="R388" s="17" t="s">
        <v>2230</v>
      </c>
      <c r="S388" s="11" t="s">
        <v>2231</v>
      </c>
      <c r="T388" s="12"/>
      <c r="U388" s="10" t="str">
        <f>HYPERLINK("https://pbs.twimg.com/profile_images/1024702282426982403/rkhRG7xt.jpg","View")</f>
        <v>View</v>
      </c>
    </row>
    <row r="389" spans="1:21" ht="30.6">
      <c r="A389" s="6">
        <v>43426.765648148154</v>
      </c>
      <c r="B389" s="7" t="str">
        <f>HYPERLINK("https://twitter.com/nosfelicespocos","@nosfelicespocos")</f>
        <v>@nosfelicespocos</v>
      </c>
      <c r="C389" s="8" t="s">
        <v>2234</v>
      </c>
      <c r="D389" s="9" t="s">
        <v>632</v>
      </c>
      <c r="E389" s="10" t="str">
        <f>HYPERLINK("https://twitter.com/nosfelicespocos/status/1065656790023630849","1065656790023630849")</f>
        <v>1065656790023630849</v>
      </c>
      <c r="F389" s="11" t="s">
        <v>635</v>
      </c>
      <c r="G389" s="12"/>
      <c r="H389" s="12"/>
      <c r="I389" s="13">
        <v>0</v>
      </c>
      <c r="J389" s="13">
        <v>0</v>
      </c>
      <c r="K389" s="14" t="str">
        <f t="shared" ref="K389:K390" si="77">HYPERLINK("http://twitter.com","Twitter Web Client")</f>
        <v>Twitter Web Client</v>
      </c>
      <c r="L389" s="13">
        <v>11</v>
      </c>
      <c r="M389" s="13">
        <v>5</v>
      </c>
      <c r="N389" s="13">
        <v>0</v>
      </c>
      <c r="O389" s="15"/>
      <c r="P389" s="6">
        <v>41423.813807870371</v>
      </c>
      <c r="Q389" s="16" t="s">
        <v>2237</v>
      </c>
      <c r="R389" s="17" t="s">
        <v>2238</v>
      </c>
      <c r="S389" s="11" t="s">
        <v>2239</v>
      </c>
      <c r="T389" s="12"/>
      <c r="U389" s="10" t="str">
        <f>HYPERLINK("https://pbs.twimg.com/profile_images/3781620215/16254c9ef2afc7d0d078d4857e82c9b3.jpeg","View")</f>
        <v>View</v>
      </c>
    </row>
    <row r="390" spans="1:21" ht="40.799999999999997">
      <c r="A390" s="6">
        <v>43426.765219907407</v>
      </c>
      <c r="B390" s="7" t="str">
        <f>HYPERLINK("https://twitter.com/migupelo2","@migupelo2")</f>
        <v>@migupelo2</v>
      </c>
      <c r="C390" s="8" t="s">
        <v>29</v>
      </c>
      <c r="D390" s="9" t="s">
        <v>1089</v>
      </c>
      <c r="E390" s="10" t="str">
        <f>HYPERLINK("https://twitter.com/migupelo2/status/1065656635379593218","1065656635379593218")</f>
        <v>1065656635379593218</v>
      </c>
      <c r="F390" s="11" t="s">
        <v>1090</v>
      </c>
      <c r="G390" s="12"/>
      <c r="H390" s="12"/>
      <c r="I390" s="13">
        <v>0</v>
      </c>
      <c r="J390" s="13">
        <v>1</v>
      </c>
      <c r="K390" s="14" t="str">
        <f t="shared" si="77"/>
        <v>Twitter Web Client</v>
      </c>
      <c r="L390" s="13">
        <v>264</v>
      </c>
      <c r="M390" s="13">
        <v>760</v>
      </c>
      <c r="N390" s="13">
        <v>18</v>
      </c>
      <c r="O390" s="15"/>
      <c r="P390" s="6">
        <v>40477.868043981478</v>
      </c>
      <c r="Q390" s="12"/>
      <c r="R390" s="17" t="s">
        <v>32</v>
      </c>
      <c r="S390" s="12"/>
      <c r="T390" s="12"/>
      <c r="U390" s="10" t="str">
        <f>HYPERLINK("https://pbs.twimg.com/profile_images/2906316440/4ed1570f50fd6f70f1b28d458997dd81.jpeg","View")</f>
        <v>View</v>
      </c>
    </row>
    <row r="391" spans="1:21" ht="30.6">
      <c r="A391" s="6">
        <v>43426.763425925921</v>
      </c>
      <c r="B391" s="7" t="str">
        <f>HYPERLINK("https://twitter.com/CiudadanoGarzon","@CiudadanoGarzon")</f>
        <v>@CiudadanoGarzon</v>
      </c>
      <c r="C391" s="8" t="s">
        <v>2246</v>
      </c>
      <c r="D391" s="9" t="s">
        <v>632</v>
      </c>
      <c r="E391" s="10" t="str">
        <f>HYPERLINK("https://twitter.com/CiudadanoGarzon/status/1065655985740619776","1065655985740619776")</f>
        <v>1065655985740619776</v>
      </c>
      <c r="F391" s="11" t="s">
        <v>635</v>
      </c>
      <c r="G391" s="12"/>
      <c r="H391" s="12"/>
      <c r="I391" s="13">
        <v>2</v>
      </c>
      <c r="J391" s="13">
        <v>1</v>
      </c>
      <c r="K391" s="14" t="str">
        <f>HYPERLINK("http://twitter.com/#!/download/ipad","Twitter for iPad")</f>
        <v>Twitter for iPad</v>
      </c>
      <c r="L391" s="13">
        <v>1694</v>
      </c>
      <c r="M391" s="13">
        <v>215</v>
      </c>
      <c r="N391" s="13">
        <v>19</v>
      </c>
      <c r="O391" s="15"/>
      <c r="P391" s="6">
        <v>42074.730821759258</v>
      </c>
      <c r="Q391" s="16" t="s">
        <v>2249</v>
      </c>
      <c r="R391" s="17" t="s">
        <v>2250</v>
      </c>
      <c r="S391" s="12"/>
      <c r="T391" s="12"/>
      <c r="U391" s="10" t="str">
        <f>HYPERLINK("https://pbs.twimg.com/profile_images/1015872472376332288/3TsW9367.jpg","View")</f>
        <v>View</v>
      </c>
    </row>
    <row r="392" spans="1:21" ht="40.799999999999997">
      <c r="A392" s="6">
        <v>43426.758356481485</v>
      </c>
      <c r="B392" s="7" t="str">
        <f>HYPERLINK("https://twitter.com/CsLaRioja","@CsLaRioja")</f>
        <v>@CsLaRioja</v>
      </c>
      <c r="C392" s="8" t="s">
        <v>1000</v>
      </c>
      <c r="D392" s="9" t="s">
        <v>1091</v>
      </c>
      <c r="E392" s="10" t="str">
        <f>HYPERLINK("https://twitter.com/CsLaRioja/status/1065654147003740160","1065654147003740160")</f>
        <v>1065654147003740160</v>
      </c>
      <c r="F392" s="12"/>
      <c r="G392" s="11" t="s">
        <v>1092</v>
      </c>
      <c r="H392" s="12"/>
      <c r="I392" s="13">
        <v>3</v>
      </c>
      <c r="J392" s="13">
        <v>4</v>
      </c>
      <c r="K392" s="14" t="str">
        <f>HYPERLINK("https://about.twitter.com/products/tweetdeck","TweetDeck")</f>
        <v>TweetDeck</v>
      </c>
      <c r="L392" s="13">
        <v>4219</v>
      </c>
      <c r="M392" s="13">
        <v>1618</v>
      </c>
      <c r="N392" s="13">
        <v>83</v>
      </c>
      <c r="O392" s="18" t="s">
        <v>36</v>
      </c>
      <c r="P392" s="6">
        <v>41950.884421296294</v>
      </c>
      <c r="Q392" s="16" t="s">
        <v>1007</v>
      </c>
      <c r="R392" s="17" t="s">
        <v>1008</v>
      </c>
      <c r="S392" s="11" t="s">
        <v>1009</v>
      </c>
      <c r="T392" s="12"/>
      <c r="U392" s="10" t="str">
        <f>HYPERLINK("https://pbs.twimg.com/profile_images/1053530865739988993/qxMztW6q.jpg","View")</f>
        <v>View</v>
      </c>
    </row>
    <row r="393" spans="1:21" ht="91.8">
      <c r="A393" s="6">
        <v>43426.758043981477</v>
      </c>
      <c r="B393" s="7" t="str">
        <f>HYPERLINK("https://twitter.com/raimongp","@raimongp")</f>
        <v>@raimongp</v>
      </c>
      <c r="C393" s="8" t="s">
        <v>1093</v>
      </c>
      <c r="D393" s="9" t="s">
        <v>1094</v>
      </c>
      <c r="E393" s="10" t="str">
        <f>HYPERLINK("https://twitter.com/raimongp/status/1065654035867406336","1065654035867406336")</f>
        <v>1065654035867406336</v>
      </c>
      <c r="F393" s="11" t="s">
        <v>1095</v>
      </c>
      <c r="G393" s="11" t="s">
        <v>1096</v>
      </c>
      <c r="H393" s="12"/>
      <c r="I393" s="13">
        <v>0</v>
      </c>
      <c r="J393" s="13">
        <v>0</v>
      </c>
      <c r="K393" s="14" t="str">
        <f>HYPERLINK("http://twitter.com/download/android","Twitter for Android")</f>
        <v>Twitter for Android</v>
      </c>
      <c r="L393" s="13">
        <v>221</v>
      </c>
      <c r="M393" s="13">
        <v>905</v>
      </c>
      <c r="N393" s="13">
        <v>0</v>
      </c>
      <c r="O393" s="15"/>
      <c r="P393" s="6">
        <v>43039.34239583333</v>
      </c>
      <c r="Q393" s="16" t="s">
        <v>1097</v>
      </c>
      <c r="R393" s="17" t="s">
        <v>1098</v>
      </c>
      <c r="S393" s="12"/>
      <c r="T393" s="12"/>
      <c r="U393" s="10" t="str">
        <f>HYPERLINK("https://pbs.twimg.com/profile_images/1059235477398736897/nZtiwM5E.jpg","View")</f>
        <v>View</v>
      </c>
    </row>
    <row r="394" spans="1:21" ht="30.6">
      <c r="A394" s="6">
        <v>43426.756342592591</v>
      </c>
      <c r="B394" s="7" t="str">
        <f>HYPERLINK("https://twitter.com/JesusgarridogJ","@JesusgarridogJ")</f>
        <v>@JesusgarridogJ</v>
      </c>
      <c r="C394" s="8" t="s">
        <v>2257</v>
      </c>
      <c r="D394" s="9" t="s">
        <v>632</v>
      </c>
      <c r="E394" s="10" t="str">
        <f>HYPERLINK("https://twitter.com/JesusgarridogJ/status/1065653418956648448","1065653418956648448")</f>
        <v>1065653418956648448</v>
      </c>
      <c r="F394" s="11" t="s">
        <v>635</v>
      </c>
      <c r="G394" s="12"/>
      <c r="H394" s="12"/>
      <c r="I394" s="13">
        <v>0</v>
      </c>
      <c r="J394" s="13">
        <v>0</v>
      </c>
      <c r="K394" s="14" t="str">
        <f>HYPERLINK("http://twitter.com","Twitter Web Client")</f>
        <v>Twitter Web Client</v>
      </c>
      <c r="L394" s="13">
        <v>747</v>
      </c>
      <c r="M394" s="13">
        <v>486</v>
      </c>
      <c r="N394" s="13">
        <v>10</v>
      </c>
      <c r="O394" s="15"/>
      <c r="P394" s="6">
        <v>41983.799085648148</v>
      </c>
      <c r="Q394" s="16" t="s">
        <v>955</v>
      </c>
      <c r="R394" s="17" t="s">
        <v>2260</v>
      </c>
      <c r="S394" s="12"/>
      <c r="T394" s="12"/>
      <c r="U394" s="10" t="str">
        <f>HYPERLINK("https://pbs.twimg.com/profile_images/687373249479610368/8J37E_vR.jpg","View")</f>
        <v>View</v>
      </c>
    </row>
    <row r="395" spans="1:21" ht="71.400000000000006">
      <c r="A395" s="6">
        <v>43426.754652777774</v>
      </c>
      <c r="B395" s="7" t="str">
        <f>HYPERLINK("https://twitter.com/raimongp","@raimongp")</f>
        <v>@raimongp</v>
      </c>
      <c r="C395" s="8" t="s">
        <v>1093</v>
      </c>
      <c r="D395" s="9" t="s">
        <v>1099</v>
      </c>
      <c r="E395" s="10" t="str">
        <f>HYPERLINK("https://twitter.com/raimongp/status/1065652804314906624","1065652804314906624")</f>
        <v>1065652804314906624</v>
      </c>
      <c r="F395" s="16" t="s">
        <v>1100</v>
      </c>
      <c r="G395" s="12"/>
      <c r="H395" s="12"/>
      <c r="I395" s="13">
        <v>0</v>
      </c>
      <c r="J395" s="13">
        <v>0</v>
      </c>
      <c r="K395" s="14" t="str">
        <f t="shared" ref="K395:K396" si="78">HYPERLINK("http://twitter.com/download/android","Twitter for Android")</f>
        <v>Twitter for Android</v>
      </c>
      <c r="L395" s="13">
        <v>221</v>
      </c>
      <c r="M395" s="13">
        <v>905</v>
      </c>
      <c r="N395" s="13">
        <v>0</v>
      </c>
      <c r="O395" s="15"/>
      <c r="P395" s="6">
        <v>43039.34239583333</v>
      </c>
      <c r="Q395" s="16" t="s">
        <v>1097</v>
      </c>
      <c r="R395" s="17" t="s">
        <v>1098</v>
      </c>
      <c r="S395" s="12"/>
      <c r="T395" s="12"/>
      <c r="U395" s="10" t="str">
        <f>HYPERLINK("https://pbs.twimg.com/profile_images/1059235477398736897/nZtiwM5E.jpg","View")</f>
        <v>View</v>
      </c>
    </row>
    <row r="396" spans="1:21" ht="71.400000000000006">
      <c r="A396" s="6">
        <v>43426.75381944445</v>
      </c>
      <c r="B396" s="7" t="str">
        <f>HYPERLINK("https://twitter.com/sisobuto","@sisobuto")</f>
        <v>@sisobuto</v>
      </c>
      <c r="C396" s="8" t="s">
        <v>1101</v>
      </c>
      <c r="D396" s="9" t="s">
        <v>1102</v>
      </c>
      <c r="E396" s="10" t="str">
        <f>HYPERLINK("https://twitter.com/sisobuto/status/1065652504921280513","1065652504921280513")</f>
        <v>1065652504921280513</v>
      </c>
      <c r="F396" s="16" t="s">
        <v>1035</v>
      </c>
      <c r="G396" s="12"/>
      <c r="H396" s="12"/>
      <c r="I396" s="13">
        <v>0</v>
      </c>
      <c r="J396" s="13">
        <v>0</v>
      </c>
      <c r="K396" s="14" t="str">
        <f t="shared" si="78"/>
        <v>Twitter for Android</v>
      </c>
      <c r="L396" s="13">
        <v>70</v>
      </c>
      <c r="M396" s="13">
        <v>439</v>
      </c>
      <c r="N396" s="13">
        <v>0</v>
      </c>
      <c r="O396" s="15"/>
      <c r="P396" s="6">
        <v>40539.741145833337</v>
      </c>
      <c r="Q396" s="12"/>
      <c r="R396" s="19"/>
      <c r="S396" s="12"/>
      <c r="T396" s="12"/>
      <c r="U396" s="10" t="str">
        <f>HYPERLINK("https://pbs.twimg.com/profile_images/677815581719052288/ppyYNKcv.jpg","View")</f>
        <v>View</v>
      </c>
    </row>
    <row r="397" spans="1:21" ht="40.799999999999997">
      <c r="A397" s="6">
        <v>43426.75167824074</v>
      </c>
      <c r="B397" s="7" t="str">
        <f>HYPERLINK("https://twitter.com/Noticias24horas","@Noticias24horas")</f>
        <v>@Noticias24horas</v>
      </c>
      <c r="C397" s="8" t="s">
        <v>120</v>
      </c>
      <c r="D397" s="9" t="s">
        <v>2266</v>
      </c>
      <c r="E397" s="10" t="str">
        <f>HYPERLINK("https://twitter.com/Noticias24horas/status/1065651729595854848","1065651729595854848")</f>
        <v>1065651729595854848</v>
      </c>
      <c r="F397" s="11" t="s">
        <v>122</v>
      </c>
      <c r="G397" s="11" t="s">
        <v>2268</v>
      </c>
      <c r="H397" s="12"/>
      <c r="I397" s="13">
        <v>1</v>
      </c>
      <c r="J397" s="13">
        <v>0</v>
      </c>
      <c r="K397" s="14" t="str">
        <f>HYPERLINK("http://twitter.com","Twitter Web Client")</f>
        <v>Twitter Web Client</v>
      </c>
      <c r="L397" s="13">
        <v>47981</v>
      </c>
      <c r="M397" s="13">
        <v>14451</v>
      </c>
      <c r="N397" s="13">
        <v>623</v>
      </c>
      <c r="O397" s="15"/>
      <c r="P397" s="6">
        <v>39799.161666666667</v>
      </c>
      <c r="Q397" s="16" t="s">
        <v>125</v>
      </c>
      <c r="R397" s="17" t="s">
        <v>127</v>
      </c>
      <c r="S397" s="11" t="s">
        <v>128</v>
      </c>
      <c r="T397" s="12"/>
      <c r="U397" s="10" t="str">
        <f>HYPERLINK("https://pbs.twimg.com/profile_images/739091131011567616/GfKL7dJ1.jpg","View")</f>
        <v>View</v>
      </c>
    </row>
    <row r="398" spans="1:21" ht="40.799999999999997">
      <c r="A398" s="6">
        <v>43426.751064814816</v>
      </c>
      <c r="B398" s="7" t="str">
        <f>HYPERLINK("https://twitter.com/PCamorrista","@PCamorrista")</f>
        <v>@PCamorrista</v>
      </c>
      <c r="C398" s="8" t="s">
        <v>311</v>
      </c>
      <c r="D398" s="9" t="s">
        <v>1103</v>
      </c>
      <c r="E398" s="10" t="str">
        <f>HYPERLINK("https://twitter.com/PCamorrista/status/1065651506152648705","1065651506152648705")</f>
        <v>1065651506152648705</v>
      </c>
      <c r="F398" s="11" t="s">
        <v>223</v>
      </c>
      <c r="G398" s="12"/>
      <c r="H398" s="12"/>
      <c r="I398" s="13">
        <v>21</v>
      </c>
      <c r="J398" s="13">
        <v>22</v>
      </c>
      <c r="K398" s="14" t="str">
        <f>HYPERLINK("http://twitter.com/download/iphone","Twitter for iPhone")</f>
        <v>Twitter for iPhone</v>
      </c>
      <c r="L398" s="13">
        <v>1953</v>
      </c>
      <c r="M398" s="13">
        <v>1977</v>
      </c>
      <c r="N398" s="13">
        <v>10</v>
      </c>
      <c r="O398" s="15"/>
      <c r="P398" s="6">
        <v>43114.384884259256</v>
      </c>
      <c r="Q398" s="16" t="s">
        <v>37</v>
      </c>
      <c r="R398" s="17" t="s">
        <v>314</v>
      </c>
      <c r="S398" s="11" t="s">
        <v>315</v>
      </c>
      <c r="T398" s="12"/>
      <c r="U398" s="10" t="str">
        <f>HYPERLINK("https://pbs.twimg.com/profile_images/952459031083397120/u6DBThkF.jpg","View")</f>
        <v>View</v>
      </c>
    </row>
    <row r="399" spans="1:21" ht="51">
      <c r="A399" s="6">
        <v>43426.750694444447</v>
      </c>
      <c r="B399" s="7" t="str">
        <f>HYPERLINK("https://twitter.com/bitMomentum","@bitMomentum")</f>
        <v>@bitMomentum</v>
      </c>
      <c r="C399" s="8" t="s">
        <v>706</v>
      </c>
      <c r="D399" s="9" t="s">
        <v>1107</v>
      </c>
      <c r="E399" s="10" t="str">
        <f>HYPERLINK("https://twitter.com/bitMomentum/status/1065651370034978816","1065651370034978816")</f>
        <v>1065651370034978816</v>
      </c>
      <c r="F399" s="12"/>
      <c r="G399" s="12"/>
      <c r="H399" s="12"/>
      <c r="I399" s="13">
        <v>0</v>
      </c>
      <c r="J399" s="13">
        <v>1</v>
      </c>
      <c r="K399" s="14" t="str">
        <f>HYPERLINK("http://www.bitmomentum.com","bitMomentum Bot")</f>
        <v>bitMomentum Bot</v>
      </c>
      <c r="L399" s="13">
        <v>10132</v>
      </c>
      <c r="M399" s="13">
        <v>1060</v>
      </c>
      <c r="N399" s="13">
        <v>262</v>
      </c>
      <c r="O399" s="15"/>
      <c r="P399" s="6">
        <v>41608.667511574073</v>
      </c>
      <c r="Q399" s="12"/>
      <c r="R399" s="17" t="s">
        <v>708</v>
      </c>
      <c r="S399" s="11" t="s">
        <v>709</v>
      </c>
      <c r="T399" s="12"/>
      <c r="U399" s="10" t="str">
        <f>HYPERLINK("https://pbs.twimg.com/profile_images/378800000862185241/20ij2H3u.png","View")</f>
        <v>View</v>
      </c>
    </row>
    <row r="400" spans="1:21" ht="30.6">
      <c r="A400" s="6">
        <v>43426.750659722224</v>
      </c>
      <c r="B400" s="7" t="str">
        <f>HYPERLINK("https://twitter.com/NacionalAlerta","@NacionalAlerta")</f>
        <v>@NacionalAlerta</v>
      </c>
      <c r="C400" s="8" t="s">
        <v>2280</v>
      </c>
      <c r="D400" s="9" t="s">
        <v>2281</v>
      </c>
      <c r="E400" s="10" t="str">
        <f>HYPERLINK("https://twitter.com/NacionalAlerta/status/1065651358697693186","1065651358697693186")</f>
        <v>1065651358697693186</v>
      </c>
      <c r="F400" s="11" t="s">
        <v>2283</v>
      </c>
      <c r="G400" s="11" t="s">
        <v>2284</v>
      </c>
      <c r="H400" s="12"/>
      <c r="I400" s="13">
        <v>0</v>
      </c>
      <c r="J400" s="13">
        <v>0</v>
      </c>
      <c r="K400" s="14" t="str">
        <f>HYPERLINK("http://publicize.wp.com/","WordPress.com")</f>
        <v>WordPress.com</v>
      </c>
      <c r="L400" s="13">
        <v>68</v>
      </c>
      <c r="M400" s="13">
        <v>27</v>
      </c>
      <c r="N400" s="13">
        <v>2</v>
      </c>
      <c r="O400" s="15"/>
      <c r="P400" s="6">
        <v>43361.719618055555</v>
      </c>
      <c r="Q400" s="16" t="s">
        <v>37</v>
      </c>
      <c r="R400" s="19"/>
      <c r="S400" s="11" t="s">
        <v>2287</v>
      </c>
      <c r="T400" s="12"/>
      <c r="U400" s="10" t="str">
        <f>HYPERLINK("https://pbs.twimg.com/profile_images/1042072480435847169/mB0J8NN0.jpg","View")</f>
        <v>View</v>
      </c>
    </row>
    <row r="401" spans="1:21" ht="40.799999999999997">
      <c r="A401" s="6">
        <v>43426.749548611115</v>
      </c>
      <c r="B401" s="7" t="str">
        <f>HYPERLINK("https://twitter.com/Fran11888","@Fran11888")</f>
        <v>@Fran11888</v>
      </c>
      <c r="C401" s="8" t="s">
        <v>2289</v>
      </c>
      <c r="D401" s="9" t="s">
        <v>2290</v>
      </c>
      <c r="E401" s="10" t="str">
        <f>HYPERLINK("https://twitter.com/Fran11888/status/1065650955079860224","1065650955079860224")</f>
        <v>1065650955079860224</v>
      </c>
      <c r="F401" s="11" t="s">
        <v>223</v>
      </c>
      <c r="G401" s="12"/>
      <c r="H401" s="12"/>
      <c r="I401" s="13">
        <v>0</v>
      </c>
      <c r="J401" s="13">
        <v>0</v>
      </c>
      <c r="K401" s="14" t="str">
        <f t="shared" ref="K401:K403" si="79">HYPERLINK("http://twitter.com/download/iphone","Twitter for iPhone")</f>
        <v>Twitter for iPhone</v>
      </c>
      <c r="L401" s="13">
        <v>794</v>
      </c>
      <c r="M401" s="13">
        <v>728</v>
      </c>
      <c r="N401" s="13">
        <v>0</v>
      </c>
      <c r="O401" s="15"/>
      <c r="P401" s="6">
        <v>40149.921944444446</v>
      </c>
      <c r="Q401" s="16" t="s">
        <v>2294</v>
      </c>
      <c r="R401" s="17" t="s">
        <v>2295</v>
      </c>
      <c r="S401" s="11" t="s">
        <v>1880</v>
      </c>
      <c r="T401" s="12"/>
      <c r="U401" s="10" t="str">
        <f>HYPERLINK("https://pbs.twimg.com/profile_images/1063893717042561024/vS1J3QR1.jpg","View")</f>
        <v>View</v>
      </c>
    </row>
    <row r="402" spans="1:21" ht="51">
      <c r="A402" s="6">
        <v>43426.749409722222</v>
      </c>
      <c r="B402" s="7" t="str">
        <f>HYPERLINK("https://twitter.com/joanestrems","@joanestrems")</f>
        <v>@joanestrems</v>
      </c>
      <c r="C402" s="8" t="s">
        <v>1111</v>
      </c>
      <c r="D402" s="9" t="s">
        <v>1112</v>
      </c>
      <c r="E402" s="10" t="str">
        <f>HYPERLINK("https://twitter.com/joanestrems/status/1065650906438529024","1065650906438529024")</f>
        <v>1065650906438529024</v>
      </c>
      <c r="F402" s="12"/>
      <c r="G402" s="12"/>
      <c r="H402" s="12"/>
      <c r="I402" s="13">
        <v>0</v>
      </c>
      <c r="J402" s="13">
        <v>0</v>
      </c>
      <c r="K402" s="14" t="str">
        <f t="shared" si="79"/>
        <v>Twitter for iPhone</v>
      </c>
      <c r="L402" s="13">
        <v>140</v>
      </c>
      <c r="M402" s="13">
        <v>524</v>
      </c>
      <c r="N402" s="13">
        <v>0</v>
      </c>
      <c r="O402" s="15"/>
      <c r="P402" s="6">
        <v>40969.31486111111</v>
      </c>
      <c r="Q402" s="16" t="s">
        <v>310</v>
      </c>
      <c r="R402" s="17" t="s">
        <v>1115</v>
      </c>
      <c r="S402" s="12"/>
      <c r="T402" s="12"/>
      <c r="U402" s="10" t="str">
        <f>HYPERLINK("https://pbs.twimg.com/profile_images/997038650012651521/RycmZyp-.jpg","View")</f>
        <v>View</v>
      </c>
    </row>
    <row r="403" spans="1:21" ht="40.799999999999997">
      <c r="A403" s="6">
        <v>43426.749178240745</v>
      </c>
      <c r="B403" s="7" t="str">
        <f>HYPERLINK("https://twitter.com/atticusfinch155","@atticusfinch155")</f>
        <v>@atticusfinch155</v>
      </c>
      <c r="C403" s="8" t="s">
        <v>2301</v>
      </c>
      <c r="D403" s="9" t="s">
        <v>2302</v>
      </c>
      <c r="E403" s="10" t="str">
        <f>HYPERLINK("https://twitter.com/atticusfinch155/status/1065650823869489152","1065650823869489152")</f>
        <v>1065650823869489152</v>
      </c>
      <c r="F403" s="11" t="s">
        <v>635</v>
      </c>
      <c r="G403" s="12"/>
      <c r="H403" s="12"/>
      <c r="I403" s="13">
        <v>0</v>
      </c>
      <c r="J403" s="13">
        <v>0</v>
      </c>
      <c r="K403" s="14" t="str">
        <f t="shared" si="79"/>
        <v>Twitter for iPhone</v>
      </c>
      <c r="L403" s="13">
        <v>102</v>
      </c>
      <c r="M403" s="13">
        <v>269</v>
      </c>
      <c r="N403" s="13">
        <v>0</v>
      </c>
      <c r="O403" s="15"/>
      <c r="P403" s="6">
        <v>43232.792384259257</v>
      </c>
      <c r="Q403" s="16" t="s">
        <v>37</v>
      </c>
      <c r="R403" s="17" t="s">
        <v>2303</v>
      </c>
      <c r="S403" s="12"/>
      <c r="T403" s="12"/>
      <c r="U403" s="10" t="str">
        <f>HYPERLINK("https://pbs.twimg.com/profile_images/995349332764364801/rvoga8vZ.jpg","View")</f>
        <v>View</v>
      </c>
    </row>
    <row r="404" spans="1:21" ht="40.799999999999997">
      <c r="A404" s="6">
        <v>43426.748124999998</v>
      </c>
      <c r="B404" s="7" t="str">
        <f>HYPERLINK("https://twitter.com/Luquenyo","@Luquenyo")</f>
        <v>@Luquenyo</v>
      </c>
      <c r="C404" s="8" t="s">
        <v>2305</v>
      </c>
      <c r="D404" s="9" t="s">
        <v>556</v>
      </c>
      <c r="E404" s="10" t="str">
        <f>HYPERLINK("https://twitter.com/Luquenyo/status/1065650440459755526","1065650440459755526")</f>
        <v>1065650440459755526</v>
      </c>
      <c r="F404" s="11" t="s">
        <v>557</v>
      </c>
      <c r="G404" s="12"/>
      <c r="H404" s="12"/>
      <c r="I404" s="13">
        <v>0</v>
      </c>
      <c r="J404" s="13">
        <v>0</v>
      </c>
      <c r="K404" s="14" t="str">
        <f>HYPERLINK("http://twitter.com","Twitter Web Client")</f>
        <v>Twitter Web Client</v>
      </c>
      <c r="L404" s="13">
        <v>367</v>
      </c>
      <c r="M404" s="13">
        <v>282</v>
      </c>
      <c r="N404" s="13">
        <v>19</v>
      </c>
      <c r="O404" s="15"/>
      <c r="P404" s="6">
        <v>40649.51326388889</v>
      </c>
      <c r="Q404" s="16" t="s">
        <v>75</v>
      </c>
      <c r="R404" s="17" t="s">
        <v>2307</v>
      </c>
      <c r="S404" s="12"/>
      <c r="T404" s="12"/>
      <c r="U404" s="10" t="str">
        <f>HYPERLINK("https://pbs.twimg.com/profile_images/1490203872/img030.jpg","View")</f>
        <v>View</v>
      </c>
    </row>
    <row r="405" spans="1:21" ht="30.6">
      <c r="A405" s="6">
        <v>43426.74795138889</v>
      </c>
      <c r="B405" s="7" t="str">
        <f>HYPERLINK("https://twitter.com/jcbonet","@jcbonet")</f>
        <v>@jcbonet</v>
      </c>
      <c r="C405" s="8" t="s">
        <v>2310</v>
      </c>
      <c r="D405" s="9" t="s">
        <v>2311</v>
      </c>
      <c r="E405" s="10" t="str">
        <f>HYPERLINK("https://twitter.com/jcbonet/status/1065650378283323397","1065650378283323397")</f>
        <v>1065650378283323397</v>
      </c>
      <c r="F405" s="11" t="s">
        <v>635</v>
      </c>
      <c r="G405" s="12"/>
      <c r="H405" s="12"/>
      <c r="I405" s="13">
        <v>0</v>
      </c>
      <c r="J405" s="13">
        <v>0</v>
      </c>
      <c r="K405" s="14" t="str">
        <f>HYPERLINK("http://twitter.com/download/android","Twitter for Android")</f>
        <v>Twitter for Android</v>
      </c>
      <c r="L405" s="13">
        <v>104</v>
      </c>
      <c r="M405" s="13">
        <v>139</v>
      </c>
      <c r="N405" s="13">
        <v>3</v>
      </c>
      <c r="O405" s="15"/>
      <c r="P405" s="6">
        <v>40477.830185185187</v>
      </c>
      <c r="Q405" s="16" t="s">
        <v>2313</v>
      </c>
      <c r="R405" s="19"/>
      <c r="S405" s="12"/>
      <c r="T405" s="12"/>
      <c r="U405" s="10" t="str">
        <f>HYPERLINK("https://pbs.twimg.com/profile_images/718794894026870785/QuHq31q-.jpg","View")</f>
        <v>View</v>
      </c>
    </row>
    <row r="406" spans="1:21" ht="102">
      <c r="A406" s="6">
        <v>43426.745532407411</v>
      </c>
      <c r="B406" s="7" t="str">
        <f>HYPERLINK("https://twitter.com/lahoraredaccion","@lahoraredaccion")</f>
        <v>@lahoraredaccion</v>
      </c>
      <c r="C406" s="8" t="s">
        <v>717</v>
      </c>
      <c r="D406" s="9" t="s">
        <v>1118</v>
      </c>
      <c r="E406" s="10" t="str">
        <f>HYPERLINK("https://twitter.com/lahoraredaccion/status/1065649501451489280","1065649501451489280")</f>
        <v>1065649501451489280</v>
      </c>
      <c r="F406" s="16" t="s">
        <v>1119</v>
      </c>
      <c r="G406" s="12"/>
      <c r="H406" s="12"/>
      <c r="I406" s="13">
        <v>0</v>
      </c>
      <c r="J406" s="13">
        <v>0</v>
      </c>
      <c r="K406" s="14" t="str">
        <f>HYPERLINK("http://twitter.com","Twitter Web Client")</f>
        <v>Twitter Web Client</v>
      </c>
      <c r="L406" s="13">
        <v>1644</v>
      </c>
      <c r="M406" s="13">
        <v>4231</v>
      </c>
      <c r="N406" s="13">
        <v>14</v>
      </c>
      <c r="O406" s="15"/>
      <c r="P406" s="6">
        <v>40585.755208333336</v>
      </c>
      <c r="Q406" s="16" t="s">
        <v>722</v>
      </c>
      <c r="R406" s="17" t="s">
        <v>723</v>
      </c>
      <c r="S406" s="12"/>
      <c r="T406" s="12"/>
      <c r="U406" s="10" t="str">
        <f>HYPERLINK("https://pbs.twimg.com/profile_images/1243587141/La_Hora.jpg","View")</f>
        <v>View</v>
      </c>
    </row>
    <row r="407" spans="1:21" ht="30.6">
      <c r="A407" s="6">
        <v>43426.745451388888</v>
      </c>
      <c r="B407" s="7" t="str">
        <f>HYPERLINK("https://twitter.com/GustavoUgarte7","@GustavoUgarte7")</f>
        <v>@GustavoUgarte7</v>
      </c>
      <c r="C407" s="8" t="s">
        <v>2317</v>
      </c>
      <c r="D407" s="9" t="s">
        <v>2318</v>
      </c>
      <c r="E407" s="10" t="str">
        <f>HYPERLINK("https://twitter.com/GustavoUgarte7/status/1065649472108224512","1065649472108224512")</f>
        <v>1065649472108224512</v>
      </c>
      <c r="F407" s="12"/>
      <c r="G407" s="12"/>
      <c r="H407" s="12"/>
      <c r="I407" s="13">
        <v>0</v>
      </c>
      <c r="J407" s="13">
        <v>0</v>
      </c>
      <c r="K407" s="14" t="str">
        <f>HYPERLINK("http://twitter.com/download/android","Twitter for Android")</f>
        <v>Twitter for Android</v>
      </c>
      <c r="L407" s="13">
        <v>128</v>
      </c>
      <c r="M407" s="13">
        <v>420</v>
      </c>
      <c r="N407" s="13">
        <v>2</v>
      </c>
      <c r="O407" s="15"/>
      <c r="P407" s="6">
        <v>42955.674155092594</v>
      </c>
      <c r="Q407" s="16" t="s">
        <v>2320</v>
      </c>
      <c r="R407" s="17" t="s">
        <v>2321</v>
      </c>
      <c r="S407" s="12"/>
      <c r="T407" s="12"/>
      <c r="U407" s="10" t="str">
        <f>HYPERLINK("https://pbs.twimg.com/profile_images/894996239107977218/BRtCfmGl.jpg","View")</f>
        <v>View</v>
      </c>
    </row>
    <row r="408" spans="1:21" ht="71.400000000000006">
      <c r="A408" s="6">
        <v>43426.745162037041</v>
      </c>
      <c r="B408" s="7" t="str">
        <f>HYPERLINK("https://twitter.com/EtxebeRS","@EtxebeRS")</f>
        <v>@EtxebeRS</v>
      </c>
      <c r="C408" s="8" t="s">
        <v>1120</v>
      </c>
      <c r="D408" s="9" t="s">
        <v>1121</v>
      </c>
      <c r="E408" s="10" t="str">
        <f>HYPERLINK("https://twitter.com/EtxebeRS/status/1065649367279902722","1065649367279902722")</f>
        <v>1065649367279902722</v>
      </c>
      <c r="F408" s="16" t="s">
        <v>1122</v>
      </c>
      <c r="G408" s="11" t="s">
        <v>1123</v>
      </c>
      <c r="H408" s="12"/>
      <c r="I408" s="13">
        <v>0</v>
      </c>
      <c r="J408" s="13">
        <v>2</v>
      </c>
      <c r="K408" s="14" t="str">
        <f t="shared" ref="K408:K411" si="80">HYPERLINK("http://twitter.com","Twitter Web Client")</f>
        <v>Twitter Web Client</v>
      </c>
      <c r="L408" s="13">
        <v>4073</v>
      </c>
      <c r="M408" s="13">
        <v>2065</v>
      </c>
      <c r="N408" s="13">
        <v>87</v>
      </c>
      <c r="O408" s="15"/>
      <c r="P408" s="6">
        <v>40863.520960648151</v>
      </c>
      <c r="Q408" s="16" t="s">
        <v>1125</v>
      </c>
      <c r="R408" s="17" t="s">
        <v>1126</v>
      </c>
      <c r="S408" s="11" t="s">
        <v>1127</v>
      </c>
      <c r="T408" s="12"/>
      <c r="U408" s="10" t="str">
        <f>HYPERLINK("https://pbs.twimg.com/profile_images/1059875775292289024/bFp2Tx_F.jpg","View")</f>
        <v>View</v>
      </c>
    </row>
    <row r="409" spans="1:21" ht="30.6">
      <c r="A409" s="6">
        <v>43426.743275462963</v>
      </c>
      <c r="B409" s="7" t="str">
        <f>HYPERLINK("https://twitter.com/republicano1945","@republicano1945")</f>
        <v>@republicano1945</v>
      </c>
      <c r="C409" s="8" t="s">
        <v>2325</v>
      </c>
      <c r="D409" s="9" t="s">
        <v>2326</v>
      </c>
      <c r="E409" s="10" t="str">
        <f>HYPERLINK("https://twitter.com/republicano1945/status/1065648684640202753","1065648684640202753")</f>
        <v>1065648684640202753</v>
      </c>
      <c r="F409" s="11" t="s">
        <v>2327</v>
      </c>
      <c r="G409" s="12"/>
      <c r="H409" s="12"/>
      <c r="I409" s="13">
        <v>5</v>
      </c>
      <c r="J409" s="13">
        <v>4</v>
      </c>
      <c r="K409" s="14" t="str">
        <f t="shared" si="80"/>
        <v>Twitter Web Client</v>
      </c>
      <c r="L409" s="13">
        <v>8219</v>
      </c>
      <c r="M409" s="13">
        <v>8548</v>
      </c>
      <c r="N409" s="13">
        <v>19</v>
      </c>
      <c r="O409" s="15"/>
      <c r="P409" s="6">
        <v>42992.106516203705</v>
      </c>
      <c r="Q409" s="16" t="s">
        <v>2330</v>
      </c>
      <c r="R409" s="17" t="s">
        <v>2331</v>
      </c>
      <c r="S409" s="12"/>
      <c r="T409" s="12"/>
      <c r="U409" s="10" t="str">
        <f>HYPERLINK("https://pbs.twimg.com/profile_images/920346803001856000/ZsnGz_F1.jpg","View")</f>
        <v>View</v>
      </c>
    </row>
    <row r="410" spans="1:21" ht="51">
      <c r="A410" s="6">
        <v>43426.741226851853</v>
      </c>
      <c r="B410" s="7" t="str">
        <f>HYPERLINK("https://twitter.com/Lluis_Ducet","@Lluis_Ducet")</f>
        <v>@Lluis_Ducet</v>
      </c>
      <c r="C410" s="8" t="s">
        <v>1128</v>
      </c>
      <c r="D410" s="9" t="s">
        <v>1129</v>
      </c>
      <c r="E410" s="10" t="str">
        <f>HYPERLINK("https://twitter.com/Lluis_Ducet/status/1065647941120114689","1065647941120114689")</f>
        <v>1065647941120114689</v>
      </c>
      <c r="F410" s="16" t="s">
        <v>1130</v>
      </c>
      <c r="G410" s="12"/>
      <c r="H410" s="12"/>
      <c r="I410" s="13">
        <v>1</v>
      </c>
      <c r="J410" s="13">
        <v>0</v>
      </c>
      <c r="K410" s="14" t="str">
        <f t="shared" si="80"/>
        <v>Twitter Web Client</v>
      </c>
      <c r="L410" s="13">
        <v>1107</v>
      </c>
      <c r="M410" s="13">
        <v>1239</v>
      </c>
      <c r="N410" s="13">
        <v>34</v>
      </c>
      <c r="O410" s="15"/>
      <c r="P410" s="6">
        <v>41247.701643518521</v>
      </c>
      <c r="Q410" s="16" t="s">
        <v>1131</v>
      </c>
      <c r="R410" s="17" t="s">
        <v>1132</v>
      </c>
      <c r="S410" s="12"/>
      <c r="T410" s="12"/>
      <c r="U410" s="10" t="str">
        <f>HYPERLINK("https://pbs.twimg.com/profile_images/927277121562599424/Va2dSxQw.jpg","View")</f>
        <v>View</v>
      </c>
    </row>
    <row r="411" spans="1:21" ht="20.399999999999999">
      <c r="A411" s="6">
        <v>43426.740752314814</v>
      </c>
      <c r="B411" s="7" t="str">
        <f>HYPERLINK("https://twitter.com/sinue_234","@sinue_234")</f>
        <v>@sinue_234</v>
      </c>
      <c r="C411" s="8" t="s">
        <v>2334</v>
      </c>
      <c r="D411" s="9" t="s">
        <v>1697</v>
      </c>
      <c r="E411" s="10" t="str">
        <f>HYPERLINK("https://twitter.com/sinue_234/status/1065647769904398338","1065647769904398338")</f>
        <v>1065647769904398338</v>
      </c>
      <c r="F411" s="11" t="s">
        <v>1700</v>
      </c>
      <c r="G411" s="12"/>
      <c r="H411" s="12"/>
      <c r="I411" s="13">
        <v>0</v>
      </c>
      <c r="J411" s="13">
        <v>0</v>
      </c>
      <c r="K411" s="14" t="str">
        <f t="shared" si="80"/>
        <v>Twitter Web Client</v>
      </c>
      <c r="L411" s="13">
        <v>872</v>
      </c>
      <c r="M411" s="13">
        <v>961</v>
      </c>
      <c r="N411" s="13">
        <v>19</v>
      </c>
      <c r="O411" s="15"/>
      <c r="P411" s="6">
        <v>40310.704189814816</v>
      </c>
      <c r="Q411" s="12"/>
      <c r="R411" s="19"/>
      <c r="S411" s="12"/>
      <c r="T411" s="12"/>
      <c r="U411" s="10" t="str">
        <f>HYPERLINK("https://pbs.twimg.com/profile_images/1360942810/girasol_turquia.jpg","View")</f>
        <v>View</v>
      </c>
    </row>
    <row r="412" spans="1:21" ht="20.399999999999999">
      <c r="A412" s="6">
        <v>43426.740370370375</v>
      </c>
      <c r="B412" s="7" t="str">
        <f>HYPERLINK("https://twitter.com/CiudadanosG","@CiudadanosG")</f>
        <v>@CiudadanosG</v>
      </c>
      <c r="C412" s="8" t="s">
        <v>2341</v>
      </c>
      <c r="D412" s="9" t="s">
        <v>1465</v>
      </c>
      <c r="E412" s="10" t="str">
        <f>HYPERLINK("https://twitter.com/CiudadanosG/status/1065647631010021376","1065647631010021376")</f>
        <v>1065647631010021376</v>
      </c>
      <c r="F412" s="11" t="s">
        <v>635</v>
      </c>
      <c r="G412" s="12"/>
      <c r="H412" s="12"/>
      <c r="I412" s="13">
        <v>0</v>
      </c>
      <c r="J412" s="13">
        <v>0</v>
      </c>
      <c r="K412" s="14" t="str">
        <f t="shared" ref="K412:K413" si="81">HYPERLINK("http://twitter.com/download/iphone","Twitter for iPhone")</f>
        <v>Twitter for iPhone</v>
      </c>
      <c r="L412" s="13">
        <v>774</v>
      </c>
      <c r="M412" s="13">
        <v>1244</v>
      </c>
      <c r="N412" s="13">
        <v>7</v>
      </c>
      <c r="O412" s="15"/>
      <c r="P412" s="6">
        <v>42103.719131944439</v>
      </c>
      <c r="Q412" s="16" t="s">
        <v>2345</v>
      </c>
      <c r="R412" s="17" t="s">
        <v>2346</v>
      </c>
      <c r="S412" s="11" t="s">
        <v>2347</v>
      </c>
      <c r="T412" s="12"/>
      <c r="U412" s="10" t="str">
        <f>HYPERLINK("https://pbs.twimg.com/profile_images/924150787097362432/Fy-AzRAw.jpg","View")</f>
        <v>View</v>
      </c>
    </row>
    <row r="413" spans="1:21" ht="20.399999999999999">
      <c r="A413" s="6">
        <v>43426.73810185185</v>
      </c>
      <c r="B413" s="7" t="str">
        <f>HYPERLINK("https://twitter.com/vikuku","@vikuku")</f>
        <v>@vikuku</v>
      </c>
      <c r="C413" s="8" t="s">
        <v>2350</v>
      </c>
      <c r="D413" s="9" t="s">
        <v>2351</v>
      </c>
      <c r="E413" s="10" t="str">
        <f>HYPERLINK("https://twitter.com/vikuku/status/1065646807546499074","1065646807546499074")</f>
        <v>1065646807546499074</v>
      </c>
      <c r="F413" s="11" t="s">
        <v>223</v>
      </c>
      <c r="G413" s="12"/>
      <c r="H413" s="12"/>
      <c r="I413" s="13">
        <v>0</v>
      </c>
      <c r="J413" s="13">
        <v>0</v>
      </c>
      <c r="K413" s="14" t="str">
        <f t="shared" si="81"/>
        <v>Twitter for iPhone</v>
      </c>
      <c r="L413" s="13">
        <v>476</v>
      </c>
      <c r="M413" s="13">
        <v>2098</v>
      </c>
      <c r="N413" s="13">
        <v>15</v>
      </c>
      <c r="O413" s="15"/>
      <c r="P413" s="6">
        <v>40068.45521990741</v>
      </c>
      <c r="Q413" s="12"/>
      <c r="R413" s="17" t="s">
        <v>2353</v>
      </c>
      <c r="S413" s="12"/>
      <c r="T413" s="12"/>
      <c r="U413" s="10" t="str">
        <f>HYPERLINK("https://pbs.twimg.com/profile_images/1857638127/2031519.jpg","View")</f>
        <v>View</v>
      </c>
    </row>
    <row r="414" spans="1:21" ht="40.799999999999997">
      <c r="A414" s="6">
        <v>43426.736030092594</v>
      </c>
      <c r="B414" s="7" t="str">
        <f>HYPERLINK("https://twitter.com/Caninfin","@Caninfin")</f>
        <v>@Caninfin</v>
      </c>
      <c r="C414" s="8" t="s">
        <v>2356</v>
      </c>
      <c r="D414" s="9" t="s">
        <v>2357</v>
      </c>
      <c r="E414" s="10" t="str">
        <f>HYPERLINK("https://twitter.com/Caninfin/status/1065646056027893760","1065646056027893760")</f>
        <v>1065646056027893760</v>
      </c>
      <c r="F414" s="12"/>
      <c r="G414" s="12"/>
      <c r="H414" s="12"/>
      <c r="I414" s="13">
        <v>3</v>
      </c>
      <c r="J414" s="13">
        <v>5</v>
      </c>
      <c r="K414" s="14" t="str">
        <f>HYPERLINK("http://twitter.com","Twitter Web Client")</f>
        <v>Twitter Web Client</v>
      </c>
      <c r="L414" s="13">
        <v>278</v>
      </c>
      <c r="M414" s="13">
        <v>417</v>
      </c>
      <c r="N414" s="13">
        <v>6</v>
      </c>
      <c r="O414" s="15"/>
      <c r="P414" s="6">
        <v>40826.577430555553</v>
      </c>
      <c r="Q414" s="12"/>
      <c r="R414" s="19"/>
      <c r="S414" s="12"/>
      <c r="T414" s="12"/>
      <c r="U414" s="10" t="str">
        <f>HYPERLINK("https://pbs.twimg.com/profile_images/378800000002584502/da92b66073759ec0f9a2549b5e326411.jpeg","View")</f>
        <v>View</v>
      </c>
    </row>
    <row r="415" spans="1:21" ht="40.799999999999997">
      <c r="A415" s="6">
        <v>43426.734791666662</v>
      </c>
      <c r="B415" s="7" t="str">
        <f>HYPERLINK("https://twitter.com/Dem_Politics","@Dem_Politics")</f>
        <v>@Dem_Politics</v>
      </c>
      <c r="C415" s="8" t="s">
        <v>2362</v>
      </c>
      <c r="D415" s="9" t="s">
        <v>2363</v>
      </c>
      <c r="E415" s="10" t="str">
        <f>HYPERLINK("https://twitter.com/Dem_Politics/status/1065645606901817344","1065645606901817344")</f>
        <v>1065645606901817344</v>
      </c>
      <c r="F415" s="12"/>
      <c r="G415" s="11" t="s">
        <v>2366</v>
      </c>
      <c r="H415" s="12"/>
      <c r="I415" s="13">
        <v>0</v>
      </c>
      <c r="J415" s="13">
        <v>3</v>
      </c>
      <c r="K415" s="14" t="str">
        <f>HYPERLINK("http://twitter.com/download/android","Twitter for Android")</f>
        <v>Twitter for Android</v>
      </c>
      <c r="L415" s="13">
        <v>1382</v>
      </c>
      <c r="M415" s="13">
        <v>3784</v>
      </c>
      <c r="N415" s="13">
        <v>7</v>
      </c>
      <c r="O415" s="15"/>
      <c r="P415" s="6">
        <v>41696.713020833333</v>
      </c>
      <c r="Q415" s="12"/>
      <c r="R415" s="17" t="s">
        <v>2367</v>
      </c>
      <c r="S415" s="12"/>
      <c r="T415" s="12"/>
      <c r="U415" s="10" t="str">
        <f>HYPERLINK("https://pbs.twimg.com/profile_images/438708749641842688/84jVzKk2.jpeg","View")</f>
        <v>View</v>
      </c>
    </row>
    <row r="416" spans="1:21" ht="51">
      <c r="A416" s="6">
        <v>43426.73159722222</v>
      </c>
      <c r="B416" s="7" t="str">
        <f>HYPERLINK("https://twitter.com/Podemosesquivia","@Podemosesquivia")</f>
        <v>@Podemosesquivia</v>
      </c>
      <c r="C416" s="8" t="s">
        <v>2369</v>
      </c>
      <c r="D416" s="9" t="s">
        <v>2371</v>
      </c>
      <c r="E416" s="10" t="str">
        <f>HYPERLINK("https://twitter.com/Podemosesquivia/status/1065644450230210562","1065644450230210562")</f>
        <v>1065644450230210562</v>
      </c>
      <c r="F416" s="11" t="s">
        <v>1510</v>
      </c>
      <c r="G416" s="12"/>
      <c r="H416" s="12"/>
      <c r="I416" s="13">
        <v>0</v>
      </c>
      <c r="J416" s="13">
        <v>0</v>
      </c>
      <c r="K416" s="14" t="str">
        <f t="shared" ref="K416:K417" si="82">HYPERLINK("http://www.facebook.com/twitter","Facebook")</f>
        <v>Facebook</v>
      </c>
      <c r="L416" s="13">
        <v>408</v>
      </c>
      <c r="M416" s="13">
        <v>402</v>
      </c>
      <c r="N416" s="13">
        <v>10</v>
      </c>
      <c r="O416" s="15"/>
      <c r="P416" s="6">
        <v>42066.76771990741</v>
      </c>
      <c r="Q416" s="16" t="s">
        <v>2373</v>
      </c>
      <c r="R416" s="17" t="s">
        <v>2374</v>
      </c>
      <c r="S416" s="11" t="s">
        <v>2375</v>
      </c>
      <c r="T416" s="12"/>
      <c r="U416" s="10" t="str">
        <f>HYPERLINK("https://pbs.twimg.com/profile_images/971980629700001792/mv-q_yKC.jpg","View")</f>
        <v>View</v>
      </c>
    </row>
    <row r="417" spans="1:21" ht="51">
      <c r="A417" s="6">
        <v>43426.731400462959</v>
      </c>
      <c r="B417" s="7" t="str">
        <f>HYPERLINK("https://twitter.com/JoseMonty69","@JoseMonty69")</f>
        <v>@JoseMonty69</v>
      </c>
      <c r="C417" s="8" t="s">
        <v>2378</v>
      </c>
      <c r="D417" s="9" t="s">
        <v>2371</v>
      </c>
      <c r="E417" s="10" t="str">
        <f>HYPERLINK("https://twitter.com/JoseMonty69/status/1065644380709625856","1065644380709625856")</f>
        <v>1065644380709625856</v>
      </c>
      <c r="F417" s="11" t="s">
        <v>1510</v>
      </c>
      <c r="G417" s="12"/>
      <c r="H417" s="12"/>
      <c r="I417" s="13">
        <v>0</v>
      </c>
      <c r="J417" s="13">
        <v>0</v>
      </c>
      <c r="K417" s="14" t="str">
        <f t="shared" si="82"/>
        <v>Facebook</v>
      </c>
      <c r="L417" s="13">
        <v>460</v>
      </c>
      <c r="M417" s="13">
        <v>691</v>
      </c>
      <c r="N417" s="13">
        <v>3</v>
      </c>
      <c r="O417" s="15"/>
      <c r="P417" s="6">
        <v>40302.544351851851</v>
      </c>
      <c r="Q417" s="16" t="s">
        <v>2380</v>
      </c>
      <c r="R417" s="19"/>
      <c r="S417" s="11" t="s">
        <v>2382</v>
      </c>
      <c r="T417" s="12"/>
      <c r="U417" s="10" t="str">
        <f>HYPERLINK("https://pbs.twimg.com/profile_images/830512816092221441/moewDx01.jpg","View")</f>
        <v>View</v>
      </c>
    </row>
    <row r="418" spans="1:21" ht="40.799999999999997">
      <c r="A418" s="6">
        <v>43426.730092592596</v>
      </c>
      <c r="B418" s="7" t="str">
        <f>HYPERLINK("https://twitter.com/chiscas_chisco","@chiscas_chisco")</f>
        <v>@chiscas_chisco</v>
      </c>
      <c r="C418" s="8" t="s">
        <v>1133</v>
      </c>
      <c r="D418" s="9" t="s">
        <v>1134</v>
      </c>
      <c r="E418" s="10" t="str">
        <f>HYPERLINK("https://twitter.com/chiscas_chisco/status/1065643905276936192","1065643905276936192")</f>
        <v>1065643905276936192</v>
      </c>
      <c r="F418" s="12"/>
      <c r="G418" s="11" t="s">
        <v>1135</v>
      </c>
      <c r="H418" s="12"/>
      <c r="I418" s="13">
        <v>0</v>
      </c>
      <c r="J418" s="13">
        <v>0</v>
      </c>
      <c r="K418" s="14" t="str">
        <f>HYPERLINK("http://twitter.com/download/iphone","Twitter for iPhone")</f>
        <v>Twitter for iPhone</v>
      </c>
      <c r="L418" s="13">
        <v>298</v>
      </c>
      <c r="M418" s="13">
        <v>821</v>
      </c>
      <c r="N418" s="13">
        <v>21</v>
      </c>
      <c r="O418" s="15"/>
      <c r="P418" s="6">
        <v>40811.497870370367</v>
      </c>
      <c r="Q418" s="16" t="s">
        <v>1136</v>
      </c>
      <c r="R418" s="17" t="s">
        <v>1137</v>
      </c>
      <c r="S418" s="12"/>
      <c r="T418" s="12"/>
      <c r="U418" s="10" t="str">
        <f>HYPERLINK("https://pbs.twimg.com/profile_images/667466590200463362/YeaR-k0t.jpg","View")</f>
        <v>View</v>
      </c>
    </row>
    <row r="419" spans="1:21" ht="71.400000000000006">
      <c r="A419" s="6">
        <v>43426.72934027778</v>
      </c>
      <c r="B419" s="7" t="str">
        <f>HYPERLINK("https://twitter.com/juliviatrs","@juliviatrs")</f>
        <v>@juliviatrs</v>
      </c>
      <c r="C419" s="8" t="s">
        <v>1141</v>
      </c>
      <c r="D419" s="9" t="s">
        <v>1142</v>
      </c>
      <c r="E419" s="10" t="str">
        <f>HYPERLINK("https://twitter.com/juliviatrs/status/1065643631397257216","1065643631397257216")</f>
        <v>1065643631397257216</v>
      </c>
      <c r="F419" s="16" t="s">
        <v>1035</v>
      </c>
      <c r="G419" s="12"/>
      <c r="H419" s="12"/>
      <c r="I419" s="13">
        <v>0</v>
      </c>
      <c r="J419" s="13">
        <v>0</v>
      </c>
      <c r="K419" s="14" t="str">
        <f>HYPERLINK("http://twitter.com/download/android","Twitter for Android")</f>
        <v>Twitter for Android</v>
      </c>
      <c r="L419" s="13">
        <v>384</v>
      </c>
      <c r="M419" s="13">
        <v>739</v>
      </c>
      <c r="N419" s="13">
        <v>0</v>
      </c>
      <c r="O419" s="15"/>
      <c r="P419" s="6">
        <v>43030.585451388892</v>
      </c>
      <c r="Q419" s="12"/>
      <c r="R419" s="19"/>
      <c r="S419" s="12"/>
      <c r="T419" s="12"/>
      <c r="U419" s="10" t="str">
        <f>HYPERLINK("https://pbs.twimg.com/profile_images/926372989750345728/l7l4yNV7.jpg","View")</f>
        <v>View</v>
      </c>
    </row>
    <row r="420" spans="1:21" ht="20.399999999999999">
      <c r="A420" s="6">
        <v>43426.726446759261</v>
      </c>
      <c r="B420" s="7" t="str">
        <f>HYPERLINK("https://twitter.com/lalimateos","@lalimateos")</f>
        <v>@lalimateos</v>
      </c>
      <c r="C420" s="8" t="s">
        <v>2396</v>
      </c>
      <c r="D420" s="9" t="s">
        <v>2397</v>
      </c>
      <c r="E420" s="10" t="str">
        <f>HYPERLINK("https://twitter.com/lalimateos/status/1065642586373791744","1065642586373791744")</f>
        <v>1065642586373791744</v>
      </c>
      <c r="F420" s="11" t="s">
        <v>1617</v>
      </c>
      <c r="G420" s="12"/>
      <c r="H420" s="12"/>
      <c r="I420" s="13">
        <v>0</v>
      </c>
      <c r="J420" s="13">
        <v>0</v>
      </c>
      <c r="K420" s="14" t="str">
        <f>HYPERLINK("http://twitter.com","Twitter Web Client")</f>
        <v>Twitter Web Client</v>
      </c>
      <c r="L420" s="13">
        <v>83</v>
      </c>
      <c r="M420" s="13">
        <v>311</v>
      </c>
      <c r="N420" s="13">
        <v>0</v>
      </c>
      <c r="O420" s="15"/>
      <c r="P420" s="6">
        <v>40690.410011574073</v>
      </c>
      <c r="Q420" s="16" t="s">
        <v>75</v>
      </c>
      <c r="R420" s="19"/>
      <c r="S420" s="12"/>
      <c r="T420" s="12"/>
      <c r="U420" s="10" t="str">
        <f>HYPERLINK("https://pbs.twimg.com/profile_images/453186703868456960/g4xXmsbz.jpeg","View")</f>
        <v>View</v>
      </c>
    </row>
    <row r="421" spans="1:21" ht="51">
      <c r="A421" s="6">
        <v>43426.726157407407</v>
      </c>
      <c r="B421" s="7" t="str">
        <f>HYPERLINK("https://twitter.com/Albert_Rivera","@Albert_Rivera")</f>
        <v>@Albert_Rivera</v>
      </c>
      <c r="C421" s="8" t="s">
        <v>389</v>
      </c>
      <c r="D421" s="9" t="s">
        <v>2402</v>
      </c>
      <c r="E421" s="10" t="str">
        <f>HYPERLINK("https://twitter.com/Albert_Rivera/status/1065642480501178368","1065642480501178368")</f>
        <v>1065642480501178368</v>
      </c>
      <c r="F421" s="11" t="s">
        <v>2403</v>
      </c>
      <c r="G421" s="12"/>
      <c r="H421" s="12"/>
      <c r="I421" s="13">
        <v>336</v>
      </c>
      <c r="J421" s="13">
        <v>721</v>
      </c>
      <c r="K421" s="14" t="str">
        <f>HYPERLINK("http://twitter.com/download/iphone","Twitter for iPhone")</f>
        <v>Twitter for iPhone</v>
      </c>
      <c r="L421" s="13">
        <v>1071530</v>
      </c>
      <c r="M421" s="13">
        <v>2545</v>
      </c>
      <c r="N421" s="13">
        <v>5104</v>
      </c>
      <c r="O421" s="18" t="s">
        <v>36</v>
      </c>
      <c r="P421" s="6">
        <v>40205.748171296298</v>
      </c>
      <c r="Q421" s="16" t="s">
        <v>37</v>
      </c>
      <c r="R421" s="17" t="s">
        <v>393</v>
      </c>
      <c r="S421" s="11" t="s">
        <v>394</v>
      </c>
      <c r="T421" s="12"/>
      <c r="U421" s="10" t="str">
        <f>HYPERLINK("https://pbs.twimg.com/profile_images/1030708936779988993/RncDM4EZ.jpg","View")</f>
        <v>View</v>
      </c>
    </row>
    <row r="422" spans="1:21" ht="30.6">
      <c r="A422" s="6">
        <v>43426.72146990741</v>
      </c>
      <c r="B422" s="7" t="str">
        <f>HYPERLINK("https://twitter.com/MercdelaFuente","@MercdelaFuente")</f>
        <v>@MercdelaFuente</v>
      </c>
      <c r="C422" s="8" t="s">
        <v>2407</v>
      </c>
      <c r="D422" s="9" t="s">
        <v>2408</v>
      </c>
      <c r="E422" s="10" t="str">
        <f>HYPERLINK("https://twitter.com/MercdelaFuente/status/1065640782542049280","1065640782542049280")</f>
        <v>1065640782542049280</v>
      </c>
      <c r="F422" s="11" t="s">
        <v>1864</v>
      </c>
      <c r="G422" s="12"/>
      <c r="H422" s="12"/>
      <c r="I422" s="13">
        <v>1</v>
      </c>
      <c r="J422" s="13">
        <v>1</v>
      </c>
      <c r="K422" s="14" t="str">
        <f>HYPERLINK("http://twitter.com/download/android","Twitter for Android")</f>
        <v>Twitter for Android</v>
      </c>
      <c r="L422" s="13">
        <v>1311</v>
      </c>
      <c r="M422" s="13">
        <v>1570</v>
      </c>
      <c r="N422" s="13">
        <v>42</v>
      </c>
      <c r="O422" s="15"/>
      <c r="P422" s="6">
        <v>40659.674502314811</v>
      </c>
      <c r="Q422" s="16" t="s">
        <v>2411</v>
      </c>
      <c r="R422" s="17" t="s">
        <v>2412</v>
      </c>
      <c r="S422" s="11" t="s">
        <v>2413</v>
      </c>
      <c r="T422" s="12"/>
      <c r="U422" s="10" t="str">
        <f>HYPERLINK("https://pbs.twimg.com/profile_images/501806536776491008/ppcvAnr7.jpeg","View")</f>
        <v>View</v>
      </c>
    </row>
    <row r="423" spans="1:21" ht="20.399999999999999">
      <c r="A423" s="6">
        <v>43426.720023148147</v>
      </c>
      <c r="B423" s="7" t="str">
        <f>HYPERLINK("https://twitter.com/dexteraeterna","@dexteraeterna")</f>
        <v>@dexteraeterna</v>
      </c>
      <c r="C423" s="8" t="s">
        <v>2417</v>
      </c>
      <c r="D423" s="9" t="s">
        <v>1465</v>
      </c>
      <c r="E423" s="10" t="str">
        <f>HYPERLINK("https://twitter.com/dexteraeterna/status/1065640255141961728","1065640255141961728")</f>
        <v>1065640255141961728</v>
      </c>
      <c r="F423" s="11" t="s">
        <v>635</v>
      </c>
      <c r="G423" s="12"/>
      <c r="H423" s="12"/>
      <c r="I423" s="13">
        <v>0</v>
      </c>
      <c r="J423" s="13">
        <v>0</v>
      </c>
      <c r="K423" s="14" t="str">
        <f>HYPERLINK("http://twitter.com","Twitter Web Client")</f>
        <v>Twitter Web Client</v>
      </c>
      <c r="L423" s="13">
        <v>164</v>
      </c>
      <c r="M423" s="13">
        <v>609</v>
      </c>
      <c r="N423" s="13">
        <v>1</v>
      </c>
      <c r="O423" s="15"/>
      <c r="P423" s="6">
        <v>43354.766932870371</v>
      </c>
      <c r="Q423" s="16" t="s">
        <v>2420</v>
      </c>
      <c r="R423" s="17" t="s">
        <v>2421</v>
      </c>
      <c r="S423" s="12"/>
      <c r="T423" s="12"/>
      <c r="U423" s="10" t="str">
        <f>HYPERLINK("https://pbs.twimg.com/profile_images/1064560302161833984/XO-QIFIk.jpg","View")</f>
        <v>View</v>
      </c>
    </row>
    <row r="424" spans="1:21" ht="20.399999999999999">
      <c r="A424" s="6">
        <v>43426.718263888892</v>
      </c>
      <c r="B424" s="7" t="str">
        <f>HYPERLINK("https://twitter.com/Felitigreton","@Felitigreton")</f>
        <v>@Felitigreton</v>
      </c>
      <c r="C424" s="8" t="s">
        <v>2424</v>
      </c>
      <c r="D424" s="9" t="s">
        <v>2425</v>
      </c>
      <c r="E424" s="10" t="str">
        <f>HYPERLINK("https://twitter.com/Felitigreton/status/1065639618337562625","1065639618337562625")</f>
        <v>1065639618337562625</v>
      </c>
      <c r="F424" s="12"/>
      <c r="G424" s="12"/>
      <c r="H424" s="12"/>
      <c r="I424" s="13">
        <v>1</v>
      </c>
      <c r="J424" s="13">
        <v>0</v>
      </c>
      <c r="K424" s="14" t="str">
        <f t="shared" ref="K424:K426" si="83">HYPERLINK("http://twitter.com/download/android","Twitter for Android")</f>
        <v>Twitter for Android</v>
      </c>
      <c r="L424" s="13">
        <v>7629</v>
      </c>
      <c r="M424" s="13">
        <v>6998</v>
      </c>
      <c r="N424" s="13">
        <v>35</v>
      </c>
      <c r="O424" s="15"/>
      <c r="P424" s="6">
        <v>42099.790196759262</v>
      </c>
      <c r="Q424" s="12"/>
      <c r="R424" s="17" t="s">
        <v>2430</v>
      </c>
      <c r="S424" s="12"/>
      <c r="T424" s="12"/>
      <c r="U424" s="10" t="str">
        <f>HYPERLINK("https://pbs.twimg.com/profile_images/947940683331063808/u2VI9kbD.jpg","View")</f>
        <v>View</v>
      </c>
    </row>
    <row r="425" spans="1:21" ht="61.2">
      <c r="A425" s="6">
        <v>43426.71774305556</v>
      </c>
      <c r="B425" s="7" t="str">
        <f>HYPERLINK("https://twitter.com/NereaStarkk","@NereaStarkk")</f>
        <v>@NereaStarkk</v>
      </c>
      <c r="C425" s="8" t="s">
        <v>2434</v>
      </c>
      <c r="D425" s="9" t="s">
        <v>2435</v>
      </c>
      <c r="E425" s="10" t="str">
        <f>HYPERLINK("https://twitter.com/NereaStarkk/status/1065639430239776769","1065639430239776769")</f>
        <v>1065639430239776769</v>
      </c>
      <c r="F425" s="16" t="s">
        <v>1035</v>
      </c>
      <c r="G425" s="12"/>
      <c r="H425" s="12"/>
      <c r="I425" s="13">
        <v>0</v>
      </c>
      <c r="J425" s="13">
        <v>0</v>
      </c>
      <c r="K425" s="14" t="str">
        <f t="shared" si="83"/>
        <v>Twitter for Android</v>
      </c>
      <c r="L425" s="13">
        <v>1764</v>
      </c>
      <c r="M425" s="13">
        <v>514</v>
      </c>
      <c r="N425" s="13">
        <v>27</v>
      </c>
      <c r="O425" s="15"/>
      <c r="P425" s="6">
        <v>41031.850868055553</v>
      </c>
      <c r="Q425" s="16" t="s">
        <v>2437</v>
      </c>
      <c r="R425" s="17" t="s">
        <v>2438</v>
      </c>
      <c r="S425" s="11" t="s">
        <v>2439</v>
      </c>
      <c r="T425" s="12"/>
      <c r="U425" s="10" t="str">
        <f>HYPERLINK("https://pbs.twimg.com/profile_images/1055130487260397569/2dCcL_qg.jpg","View")</f>
        <v>View</v>
      </c>
    </row>
    <row r="426" spans="1:21" ht="61.2">
      <c r="A426" s="6">
        <v>43426.716782407406</v>
      </c>
      <c r="B426" s="7" t="str">
        <f>HYPERLINK("https://twitter.com/habladorXXI","@habladorXXI")</f>
        <v>@habladorXXI</v>
      </c>
      <c r="C426" s="8" t="s">
        <v>1144</v>
      </c>
      <c r="D426" s="9" t="s">
        <v>1145</v>
      </c>
      <c r="E426" s="10" t="str">
        <f>HYPERLINK("https://twitter.com/habladorXXI/status/1065639082502557696","1065639082502557696")</f>
        <v>1065639082502557696</v>
      </c>
      <c r="F426" s="11" t="s">
        <v>1146</v>
      </c>
      <c r="G426" s="11" t="s">
        <v>1147</v>
      </c>
      <c r="H426" s="12"/>
      <c r="I426" s="13">
        <v>0</v>
      </c>
      <c r="J426" s="13">
        <v>0</v>
      </c>
      <c r="K426" s="14" t="str">
        <f t="shared" si="83"/>
        <v>Twitter for Android</v>
      </c>
      <c r="L426" s="13">
        <v>84</v>
      </c>
      <c r="M426" s="13">
        <v>285</v>
      </c>
      <c r="N426" s="13">
        <v>4</v>
      </c>
      <c r="O426" s="15"/>
      <c r="P426" s="6">
        <v>41402.562754629631</v>
      </c>
      <c r="Q426" s="16" t="s">
        <v>207</v>
      </c>
      <c r="R426" s="17" t="s">
        <v>1148</v>
      </c>
      <c r="S426" s="11" t="s">
        <v>1149</v>
      </c>
      <c r="T426" s="12"/>
      <c r="U426" s="10" t="str">
        <f>HYPERLINK("https://pbs.twimg.com/profile_images/3630482263/d7c92617c394ca1bf22e01cd85d9f690.jpeg","View")</f>
        <v>View</v>
      </c>
    </row>
    <row r="427" spans="1:21" ht="30.6">
      <c r="A427" s="6">
        <v>43426.716504629629</v>
      </c>
      <c r="B427" s="7" t="str">
        <f>HYPERLINK("https://twitter.com/CiudadanosCs","@CiudadanosCs")</f>
        <v>@CiudadanosCs</v>
      </c>
      <c r="C427" s="8" t="s">
        <v>196</v>
      </c>
      <c r="D427" s="9" t="s">
        <v>1150</v>
      </c>
      <c r="E427" s="10" t="str">
        <f>HYPERLINK("https://twitter.com/CiudadanosCs/status/1065638983751933952","1065638983751933952")</f>
        <v>1065638983751933952</v>
      </c>
      <c r="F427" s="11" t="s">
        <v>470</v>
      </c>
      <c r="G427" s="11" t="s">
        <v>1151</v>
      </c>
      <c r="H427" s="12"/>
      <c r="I427" s="13">
        <v>49</v>
      </c>
      <c r="J427" s="13">
        <v>46</v>
      </c>
      <c r="K427" s="14" t="str">
        <f t="shared" ref="K427:K428" si="84">HYPERLINK("http://twitter.com","Twitter Web Client")</f>
        <v>Twitter Web Client</v>
      </c>
      <c r="L427" s="13">
        <v>486503</v>
      </c>
      <c r="M427" s="13">
        <v>93653</v>
      </c>
      <c r="N427" s="13">
        <v>3318</v>
      </c>
      <c r="O427" s="18" t="s">
        <v>36</v>
      </c>
      <c r="P427" s="6">
        <v>39828.753460648149</v>
      </c>
      <c r="Q427" s="16" t="s">
        <v>37</v>
      </c>
      <c r="R427" s="17" t="s">
        <v>202</v>
      </c>
      <c r="S427" s="11" t="s">
        <v>203</v>
      </c>
      <c r="T427" s="12"/>
      <c r="U427" s="10" t="str">
        <f>HYPERLINK("https://pbs.twimg.com/profile_images/1053554096161075200/1z77_zBZ.jpg","View")</f>
        <v>View</v>
      </c>
    </row>
    <row r="428" spans="1:21" ht="20.399999999999999">
      <c r="A428" s="6">
        <v>43426.715289351851</v>
      </c>
      <c r="B428" s="7" t="str">
        <f>HYPERLINK("https://twitter.com/RobertooFinch","@RobertooFinch")</f>
        <v>@RobertooFinch</v>
      </c>
      <c r="C428" s="8" t="s">
        <v>2451</v>
      </c>
      <c r="D428" s="9" t="s">
        <v>1299</v>
      </c>
      <c r="E428" s="10" t="str">
        <f>HYPERLINK("https://twitter.com/RobertooFinch/status/1065638539566694400","1065638539566694400")</f>
        <v>1065638539566694400</v>
      </c>
      <c r="F428" s="11" t="s">
        <v>635</v>
      </c>
      <c r="G428" s="12"/>
      <c r="H428" s="12"/>
      <c r="I428" s="13">
        <v>2</v>
      </c>
      <c r="J428" s="13">
        <v>4</v>
      </c>
      <c r="K428" s="14" t="str">
        <f t="shared" si="84"/>
        <v>Twitter Web Client</v>
      </c>
      <c r="L428" s="13">
        <v>1038</v>
      </c>
      <c r="M428" s="13">
        <v>1204</v>
      </c>
      <c r="N428" s="13">
        <v>16</v>
      </c>
      <c r="O428" s="15"/>
      <c r="P428" s="6">
        <v>40109.55532407407</v>
      </c>
      <c r="Q428" s="12"/>
      <c r="R428" s="19"/>
      <c r="S428" s="12"/>
      <c r="T428" s="12"/>
      <c r="U428" s="10" t="str">
        <f>HYPERLINK("https://pbs.twimg.com/profile_images/778515238903812096/2M4c6Q6s.jpg","View")</f>
        <v>View</v>
      </c>
    </row>
    <row r="429" spans="1:21" ht="20.399999999999999">
      <c r="A429" s="6">
        <v>43426.714062500003</v>
      </c>
      <c r="B429" s="7" t="str">
        <f>HYPERLINK("https://twitter.com/GirautaOficial","@GirautaOficial")</f>
        <v>@GirautaOficial</v>
      </c>
      <c r="C429" s="8" t="s">
        <v>2455</v>
      </c>
      <c r="D429" s="9" t="s">
        <v>2456</v>
      </c>
      <c r="E429" s="10" t="str">
        <f>HYPERLINK("https://twitter.com/GirautaOficial/status/1065638096572694529","1065638096572694529")</f>
        <v>1065638096572694529</v>
      </c>
      <c r="F429" s="11" t="s">
        <v>1949</v>
      </c>
      <c r="G429" s="12"/>
      <c r="H429" s="12"/>
      <c r="I429" s="13">
        <v>230</v>
      </c>
      <c r="J429" s="13">
        <v>415</v>
      </c>
      <c r="K429" s="14" t="str">
        <f>HYPERLINK("http://twitter.com/download/iphone","Twitter for iPhone")</f>
        <v>Twitter for iPhone</v>
      </c>
      <c r="L429" s="13">
        <v>86776</v>
      </c>
      <c r="M429" s="13">
        <v>2003</v>
      </c>
      <c r="N429" s="13">
        <v>990</v>
      </c>
      <c r="O429" s="18" t="s">
        <v>36</v>
      </c>
      <c r="P429" s="6">
        <v>41621.818124999998</v>
      </c>
      <c r="Q429" s="12"/>
      <c r="R429" s="17" t="s">
        <v>2459</v>
      </c>
      <c r="S429" s="11" t="s">
        <v>473</v>
      </c>
      <c r="T429" s="12"/>
      <c r="U429" s="10" t="str">
        <f>HYPERLINK("https://pbs.twimg.com/profile_images/820734017595207680/I1pC-01n.jpg","View")</f>
        <v>View</v>
      </c>
    </row>
    <row r="430" spans="1:21" ht="51">
      <c r="A430" s="6">
        <v>43426.713344907403</v>
      </c>
      <c r="B430" s="7" t="str">
        <f>HYPERLINK("https://twitter.com/FcoGomezMartin","@FcoGomezMartin")</f>
        <v>@FcoGomezMartin</v>
      </c>
      <c r="C430" s="8" t="s">
        <v>2462</v>
      </c>
      <c r="D430" s="9" t="s">
        <v>2463</v>
      </c>
      <c r="E430" s="10" t="str">
        <f>HYPERLINK("https://twitter.com/FcoGomezMartin/status/1065637836152602625","1065637836152602625")</f>
        <v>1065637836152602625</v>
      </c>
      <c r="F430" s="12"/>
      <c r="G430" s="12"/>
      <c r="H430" s="12"/>
      <c r="I430" s="13">
        <v>4</v>
      </c>
      <c r="J430" s="13">
        <v>3</v>
      </c>
      <c r="K430" s="14" t="str">
        <f>HYPERLINK("http://www.facebook.com/twitter","Facebook")</f>
        <v>Facebook</v>
      </c>
      <c r="L430" s="13">
        <v>104</v>
      </c>
      <c r="M430" s="13">
        <v>141</v>
      </c>
      <c r="N430" s="13">
        <v>0</v>
      </c>
      <c r="O430" s="15"/>
      <c r="P430" s="6">
        <v>40687.066747685181</v>
      </c>
      <c r="Q430" s="16" t="s">
        <v>2465</v>
      </c>
      <c r="R430" s="19"/>
      <c r="S430" s="12"/>
      <c r="T430" s="12"/>
      <c r="U430" s="10" t="str">
        <f>HYPERLINK("https://pbs.twimg.com/profile_images/2365322698/jj6jnkbu8ndtptntelzo.jpeg","View")</f>
        <v>View</v>
      </c>
    </row>
    <row r="431" spans="1:21" ht="102">
      <c r="A431" s="6">
        <v>43426.712187500001</v>
      </c>
      <c r="B431" s="7" t="str">
        <f>HYPERLINK("https://twitter.com/juluniver","@juluniver")</f>
        <v>@juluniver</v>
      </c>
      <c r="C431" s="8" t="s">
        <v>368</v>
      </c>
      <c r="D431" s="9" t="s">
        <v>1156</v>
      </c>
      <c r="E431" s="10" t="str">
        <f>HYPERLINK("https://twitter.com/juluniver/status/1065637417800085505","1065637417800085505")</f>
        <v>1065637417800085505</v>
      </c>
      <c r="F431" s="16" t="s">
        <v>1157</v>
      </c>
      <c r="G431" s="12"/>
      <c r="H431" s="12"/>
      <c r="I431" s="13">
        <v>0</v>
      </c>
      <c r="J431" s="13">
        <v>0</v>
      </c>
      <c r="K431" s="14" t="str">
        <f>HYPERLINK("http://twitter.com/download/android","Twitter for Android")</f>
        <v>Twitter for Android</v>
      </c>
      <c r="L431" s="13">
        <v>143</v>
      </c>
      <c r="M431" s="13">
        <v>91</v>
      </c>
      <c r="N431" s="13">
        <v>2</v>
      </c>
      <c r="O431" s="15"/>
      <c r="P431" s="6">
        <v>42166.543541666666</v>
      </c>
      <c r="Q431" s="16" t="s">
        <v>371</v>
      </c>
      <c r="R431" s="17" t="s">
        <v>372</v>
      </c>
      <c r="S431" s="12"/>
      <c r="T431" s="12"/>
      <c r="U431" s="10" t="str">
        <f>HYPERLINK("https://pbs.twimg.com/profile_images/847880241892777992/Krxx7fp-.jpg","View")</f>
        <v>View</v>
      </c>
    </row>
    <row r="432" spans="1:21" ht="40.799999999999997">
      <c r="A432" s="6">
        <v>43426.709722222222</v>
      </c>
      <c r="B432" s="7" t="str">
        <f t="shared" ref="B432:B433" si="85">HYPERLINK("https://twitter.com/bitMomentum","@bitMomentum")</f>
        <v>@bitMomentum</v>
      </c>
      <c r="C432" s="8" t="s">
        <v>706</v>
      </c>
      <c r="D432" s="9" t="s">
        <v>1164</v>
      </c>
      <c r="E432" s="10" t="str">
        <f>HYPERLINK("https://twitter.com/bitMomentum/status/1065636522425229313","1065636522425229313")</f>
        <v>1065636522425229313</v>
      </c>
      <c r="F432" s="12"/>
      <c r="G432" s="12"/>
      <c r="H432" s="12"/>
      <c r="I432" s="13">
        <v>0</v>
      </c>
      <c r="J432" s="13">
        <v>0</v>
      </c>
      <c r="K432" s="14" t="str">
        <f t="shared" ref="K432:K433" si="86">HYPERLINK("http://www.bitmomentum.com","bitMomentum Bot")</f>
        <v>bitMomentum Bot</v>
      </c>
      <c r="L432" s="13">
        <v>10132</v>
      </c>
      <c r="M432" s="13">
        <v>1060</v>
      </c>
      <c r="N432" s="13">
        <v>262</v>
      </c>
      <c r="O432" s="15"/>
      <c r="P432" s="6">
        <v>41608.667511574073</v>
      </c>
      <c r="Q432" s="12"/>
      <c r="R432" s="17" t="s">
        <v>708</v>
      </c>
      <c r="S432" s="11" t="s">
        <v>709</v>
      </c>
      <c r="T432" s="12"/>
      <c r="U432" s="10" t="str">
        <f t="shared" ref="U432:U433" si="87">HYPERLINK("https://pbs.twimg.com/profile_images/378800000862185241/20ij2H3u.png","View")</f>
        <v>View</v>
      </c>
    </row>
    <row r="433" spans="1:21" ht="40.799999999999997">
      <c r="A433" s="6">
        <v>43426.709027777775</v>
      </c>
      <c r="B433" s="7" t="str">
        <f t="shared" si="85"/>
        <v>@bitMomentum</v>
      </c>
      <c r="C433" s="8" t="s">
        <v>706</v>
      </c>
      <c r="D433" s="9" t="s">
        <v>1170</v>
      </c>
      <c r="E433" s="10" t="str">
        <f>HYPERLINK("https://twitter.com/bitMomentum/status/1065636270725058561","1065636270725058561")</f>
        <v>1065636270725058561</v>
      </c>
      <c r="F433" s="12"/>
      <c r="G433" s="12"/>
      <c r="H433" s="12"/>
      <c r="I433" s="13">
        <v>1</v>
      </c>
      <c r="J433" s="13">
        <v>0</v>
      </c>
      <c r="K433" s="14" t="str">
        <f t="shared" si="86"/>
        <v>bitMomentum Bot</v>
      </c>
      <c r="L433" s="13">
        <v>10132</v>
      </c>
      <c r="M433" s="13">
        <v>1060</v>
      </c>
      <c r="N433" s="13">
        <v>262</v>
      </c>
      <c r="O433" s="15"/>
      <c r="P433" s="6">
        <v>41608.667511574073</v>
      </c>
      <c r="Q433" s="12"/>
      <c r="R433" s="17" t="s">
        <v>708</v>
      </c>
      <c r="S433" s="11" t="s">
        <v>709</v>
      </c>
      <c r="T433" s="12"/>
      <c r="U433" s="10" t="str">
        <f t="shared" si="87"/>
        <v>View</v>
      </c>
    </row>
    <row r="434" spans="1:21" ht="13.2">
      <c r="A434" s="6">
        <v>43426.707812499997</v>
      </c>
      <c r="B434" s="7" t="str">
        <f>HYPERLINK("https://twitter.com/108Druida","@108Druida")</f>
        <v>@108Druida</v>
      </c>
      <c r="C434" s="8" t="s">
        <v>2478</v>
      </c>
      <c r="D434" s="9" t="s">
        <v>2479</v>
      </c>
      <c r="E434" s="10" t="str">
        <f>HYPERLINK("https://twitter.com/108Druida/status/1065635833275916289","1065635833275916289")</f>
        <v>1065635833275916289</v>
      </c>
      <c r="F434" s="12"/>
      <c r="G434" s="12"/>
      <c r="H434" s="12"/>
      <c r="I434" s="13">
        <v>0</v>
      </c>
      <c r="J434" s="13">
        <v>0</v>
      </c>
      <c r="K434" s="14" t="str">
        <f t="shared" ref="K434:K437" si="88">HYPERLINK("http://twitter.com","Twitter Web Client")</f>
        <v>Twitter Web Client</v>
      </c>
      <c r="L434" s="13">
        <v>3</v>
      </c>
      <c r="M434" s="13">
        <v>16</v>
      </c>
      <c r="N434" s="13">
        <v>0</v>
      </c>
      <c r="O434" s="15"/>
      <c r="P434" s="6">
        <v>41835.982187499998</v>
      </c>
      <c r="Q434" s="12"/>
      <c r="R434" s="19"/>
      <c r="S434" s="12"/>
      <c r="T434" s="12"/>
      <c r="U434" s="10" t="str">
        <f>HYPERLINK("https://pbs.twimg.com/profile_images/1034874999109234689/6aXvl-zD.jpg","View")</f>
        <v>View</v>
      </c>
    </row>
    <row r="435" spans="1:21" ht="30.6">
      <c r="A435" s="6">
        <v>43426.707199074073</v>
      </c>
      <c r="B435" s="7" t="str">
        <f>HYPERLINK("https://twitter.com/josevi_linfor","@josevi_linfor")</f>
        <v>@josevi_linfor</v>
      </c>
      <c r="C435" s="8" t="s">
        <v>1173</v>
      </c>
      <c r="D435" s="9" t="s">
        <v>1174</v>
      </c>
      <c r="E435" s="10" t="str">
        <f>HYPERLINK("https://twitter.com/josevi_linfor/status/1065635608998096897","1065635608998096897")</f>
        <v>1065635608998096897</v>
      </c>
      <c r="F435" s="12"/>
      <c r="G435" s="12"/>
      <c r="H435" s="12"/>
      <c r="I435" s="13">
        <v>0</v>
      </c>
      <c r="J435" s="13">
        <v>0</v>
      </c>
      <c r="K435" s="14" t="str">
        <f t="shared" si="88"/>
        <v>Twitter Web Client</v>
      </c>
      <c r="L435" s="13">
        <v>0</v>
      </c>
      <c r="M435" s="13">
        <v>5</v>
      </c>
      <c r="N435" s="13">
        <v>0</v>
      </c>
      <c r="O435" s="15"/>
      <c r="P435" s="6">
        <v>43286.504629629635</v>
      </c>
      <c r="Q435" s="12"/>
      <c r="R435" s="19"/>
      <c r="S435" s="12"/>
      <c r="T435" s="12"/>
      <c r="U435" s="18" t="s">
        <v>559</v>
      </c>
    </row>
    <row r="436" spans="1:21" ht="30.6">
      <c r="A436" s="6">
        <v>43426.706886574073</v>
      </c>
      <c r="B436" s="7" t="str">
        <f>HYPERLINK("https://twitter.com/andreapt85","@andreapt85")</f>
        <v>@andreapt85</v>
      </c>
      <c r="C436" s="8" t="s">
        <v>1177</v>
      </c>
      <c r="D436" s="9" t="s">
        <v>1178</v>
      </c>
      <c r="E436" s="10" t="str">
        <f>HYPERLINK("https://twitter.com/andreapt85/status/1065635494384599040","1065635494384599040")</f>
        <v>1065635494384599040</v>
      </c>
      <c r="F436" s="16" t="s">
        <v>445</v>
      </c>
      <c r="G436" s="12"/>
      <c r="H436" s="12"/>
      <c r="I436" s="13">
        <v>0</v>
      </c>
      <c r="J436" s="13">
        <v>0</v>
      </c>
      <c r="K436" s="14" t="str">
        <f t="shared" si="88"/>
        <v>Twitter Web Client</v>
      </c>
      <c r="L436" s="13">
        <v>689</v>
      </c>
      <c r="M436" s="13">
        <v>1116</v>
      </c>
      <c r="N436" s="13">
        <v>22</v>
      </c>
      <c r="O436" s="15"/>
      <c r="P436" s="6">
        <v>40596.342546296299</v>
      </c>
      <c r="Q436" s="16" t="s">
        <v>1179</v>
      </c>
      <c r="R436" s="17" t="s">
        <v>1180</v>
      </c>
      <c r="S436" s="12"/>
      <c r="T436" s="12"/>
      <c r="U436" s="10" t="str">
        <f>HYPERLINK("https://pbs.twimg.com/profile_images/1063789726715559936/8b5BUv58.jpg","View")</f>
        <v>View</v>
      </c>
    </row>
    <row r="437" spans="1:21" ht="40.799999999999997">
      <c r="A437" s="6">
        <v>43426.706608796296</v>
      </c>
      <c r="B437" s="7" t="str">
        <f>HYPERLINK("https://twitter.com/identidadycultu","@identidadycultu")</f>
        <v>@identidadycultu</v>
      </c>
      <c r="C437" s="8" t="s">
        <v>2488</v>
      </c>
      <c r="D437" s="9" t="s">
        <v>2489</v>
      </c>
      <c r="E437" s="10" t="str">
        <f>HYPERLINK("https://twitter.com/identidadycultu/status/1065635394593665030","1065635394593665030")</f>
        <v>1065635394593665030</v>
      </c>
      <c r="F437" s="11" t="s">
        <v>635</v>
      </c>
      <c r="G437" s="12"/>
      <c r="H437" s="12"/>
      <c r="I437" s="13">
        <v>0</v>
      </c>
      <c r="J437" s="13">
        <v>0</v>
      </c>
      <c r="K437" s="14" t="str">
        <f t="shared" si="88"/>
        <v>Twitter Web Client</v>
      </c>
      <c r="L437" s="13">
        <v>724</v>
      </c>
      <c r="M437" s="13">
        <v>1685</v>
      </c>
      <c r="N437" s="13">
        <v>18</v>
      </c>
      <c r="O437" s="15"/>
      <c r="P437" s="6">
        <v>41637.826793981483</v>
      </c>
      <c r="Q437" s="16" t="s">
        <v>75</v>
      </c>
      <c r="R437" s="17" t="s">
        <v>2491</v>
      </c>
      <c r="S437" s="12"/>
      <c r="T437" s="12"/>
      <c r="U437" s="10" t="str">
        <f>HYPERLINK("https://pbs.twimg.com/profile_images/451430138626863104/TDxikj1O.jpeg","View")</f>
        <v>View</v>
      </c>
    </row>
    <row r="438" spans="1:21" ht="102">
      <c r="A438" s="6">
        <v>43426.706493055557</v>
      </c>
      <c r="B438" s="7" t="str">
        <f>HYPERLINK("https://twitter.com/juluniver","@juluniver")</f>
        <v>@juluniver</v>
      </c>
      <c r="C438" s="8" t="s">
        <v>368</v>
      </c>
      <c r="D438" s="9" t="s">
        <v>1183</v>
      </c>
      <c r="E438" s="10" t="str">
        <f>HYPERLINK("https://twitter.com/juluniver/status/1065635353233625089","1065635353233625089")</f>
        <v>1065635353233625089</v>
      </c>
      <c r="F438" s="16" t="s">
        <v>1157</v>
      </c>
      <c r="G438" s="12"/>
      <c r="H438" s="12"/>
      <c r="I438" s="13">
        <v>0</v>
      </c>
      <c r="J438" s="13">
        <v>0</v>
      </c>
      <c r="K438" s="14" t="str">
        <f>HYPERLINK("http://twitter.com/download/android","Twitter for Android")</f>
        <v>Twitter for Android</v>
      </c>
      <c r="L438" s="13">
        <v>143</v>
      </c>
      <c r="M438" s="13">
        <v>91</v>
      </c>
      <c r="N438" s="13">
        <v>2</v>
      </c>
      <c r="O438" s="15"/>
      <c r="P438" s="6">
        <v>42166.543541666666</v>
      </c>
      <c r="Q438" s="16" t="s">
        <v>371</v>
      </c>
      <c r="R438" s="17" t="s">
        <v>372</v>
      </c>
      <c r="S438" s="12"/>
      <c r="T438" s="12"/>
      <c r="U438" s="10" t="str">
        <f>HYPERLINK("https://pbs.twimg.com/profile_images/847880241892777992/Krxx7fp-.jpg","View")</f>
        <v>View</v>
      </c>
    </row>
    <row r="439" spans="1:21" ht="20.399999999999999">
      <c r="A439" s="6">
        <v>43426.705231481479</v>
      </c>
      <c r="B439" s="7" t="str">
        <f>HYPERLINK("https://twitter.com/ericcatalunya","@ericcatalunya")</f>
        <v>@ericcatalunya</v>
      </c>
      <c r="C439" s="8" t="s">
        <v>2498</v>
      </c>
      <c r="D439" s="9" t="s">
        <v>2397</v>
      </c>
      <c r="E439" s="10" t="str">
        <f>HYPERLINK("https://twitter.com/ericcatalunya/status/1065634895232491522","1065634895232491522")</f>
        <v>1065634895232491522</v>
      </c>
      <c r="F439" s="12"/>
      <c r="G439" s="11" t="s">
        <v>2501</v>
      </c>
      <c r="H439" s="12"/>
      <c r="I439" s="13">
        <v>5</v>
      </c>
      <c r="J439" s="13">
        <v>4</v>
      </c>
      <c r="K439" s="14" t="str">
        <f>HYPERLINK("http://twitter.com","Twitter Web Client")</f>
        <v>Twitter Web Client</v>
      </c>
      <c r="L439" s="13">
        <v>21369</v>
      </c>
      <c r="M439" s="13">
        <v>12513</v>
      </c>
      <c r="N439" s="13">
        <v>152</v>
      </c>
      <c r="O439" s="15"/>
      <c r="P439" s="6">
        <v>40157.703576388885</v>
      </c>
      <c r="Q439" s="12"/>
      <c r="R439" s="19"/>
      <c r="S439" s="12"/>
      <c r="T439" s="12"/>
      <c r="U439" s="10" t="str">
        <f>HYPERLINK("https://pbs.twimg.com/profile_images/1019331039347576832/da-gYt3e.jpg","View")</f>
        <v>View</v>
      </c>
    </row>
    <row r="440" spans="1:21" ht="40.799999999999997">
      <c r="A440" s="6">
        <v>43426.703287037039</v>
      </c>
      <c r="B440" s="7" t="str">
        <f>HYPERLINK("https://twitter.com/gmanel62","@gmanel62")</f>
        <v>@gmanel62</v>
      </c>
      <c r="C440" s="8" t="s">
        <v>2506</v>
      </c>
      <c r="D440" s="9" t="s">
        <v>2508</v>
      </c>
      <c r="E440" s="10" t="str">
        <f>HYPERLINK("https://twitter.com/gmanel62/status/1065634190245462016","1065634190245462016")</f>
        <v>1065634190245462016</v>
      </c>
      <c r="F440" s="12"/>
      <c r="G440" s="12"/>
      <c r="H440" s="12"/>
      <c r="I440" s="13">
        <v>0</v>
      </c>
      <c r="J440" s="13">
        <v>0</v>
      </c>
      <c r="K440" s="14" t="str">
        <f>HYPERLINK("http://twitter.com/#!/download/ipad","Twitter for iPad")</f>
        <v>Twitter for iPad</v>
      </c>
      <c r="L440" s="13">
        <v>726</v>
      </c>
      <c r="M440" s="13">
        <v>815</v>
      </c>
      <c r="N440" s="13">
        <v>17</v>
      </c>
      <c r="O440" s="15"/>
      <c r="P440" s="6">
        <v>40713.551585648151</v>
      </c>
      <c r="Q440" s="16" t="s">
        <v>2510</v>
      </c>
      <c r="R440" s="17" t="s">
        <v>2512</v>
      </c>
      <c r="S440" s="12"/>
      <c r="T440" s="12"/>
      <c r="U440" s="10" t="str">
        <f>HYPERLINK("https://pbs.twimg.com/profile_images/929738497530974209/WBPJe08K.jpg","View")</f>
        <v>View</v>
      </c>
    </row>
    <row r="441" spans="1:21" ht="20.399999999999999">
      <c r="A441" s="6">
        <v>43426.700150462959</v>
      </c>
      <c r="B441" s="7" t="str">
        <f>HYPERLINK("https://twitter.com/mathusal9","@mathusal9")</f>
        <v>@mathusal9</v>
      </c>
      <c r="C441" s="8" t="s">
        <v>1066</v>
      </c>
      <c r="D441" s="9" t="s">
        <v>632</v>
      </c>
      <c r="E441" s="10" t="str">
        <f>HYPERLINK("https://twitter.com/mathusal9/status/1065633056206348295","1065633056206348295")</f>
        <v>1065633056206348295</v>
      </c>
      <c r="F441" s="11" t="s">
        <v>635</v>
      </c>
      <c r="G441" s="12"/>
      <c r="H441" s="12"/>
      <c r="I441" s="13">
        <v>0</v>
      </c>
      <c r="J441" s="13">
        <v>0</v>
      </c>
      <c r="K441" s="14" t="str">
        <f>HYPERLINK("http://twitter.com","Twitter Web Client")</f>
        <v>Twitter Web Client</v>
      </c>
      <c r="L441" s="13">
        <v>692</v>
      </c>
      <c r="M441" s="13">
        <v>1747</v>
      </c>
      <c r="N441" s="13">
        <v>3</v>
      </c>
      <c r="O441" s="15"/>
      <c r="P441" s="6">
        <v>43049.798819444448</v>
      </c>
      <c r="Q441" s="16" t="s">
        <v>333</v>
      </c>
      <c r="R441" s="17" t="s">
        <v>1069</v>
      </c>
      <c r="S441" s="12"/>
      <c r="T441" s="12"/>
      <c r="U441" s="10" t="str">
        <f>HYPERLINK("https://pbs.twimg.com/profile_images/936494587761385472/4QRLIAtv.jpg","View")</f>
        <v>View</v>
      </c>
    </row>
    <row r="442" spans="1:21" ht="20.399999999999999">
      <c r="A442" s="6">
        <v>43426.700150462959</v>
      </c>
      <c r="B442" s="7" t="str">
        <f>HYPERLINK("https://twitter.com/jpx200","@jpx200")</f>
        <v>@jpx200</v>
      </c>
      <c r="C442" s="8" t="s">
        <v>1187</v>
      </c>
      <c r="D442" s="9" t="s">
        <v>1188</v>
      </c>
      <c r="E442" s="10" t="str">
        <f>HYPERLINK("https://twitter.com/jpx200/status/1065633054822203392","1065633054822203392")</f>
        <v>1065633054822203392</v>
      </c>
      <c r="F442" s="11" t="s">
        <v>1042</v>
      </c>
      <c r="G442" s="12"/>
      <c r="H442" s="12"/>
      <c r="I442" s="13">
        <v>0</v>
      </c>
      <c r="J442" s="13">
        <v>0</v>
      </c>
      <c r="K442" s="14" t="str">
        <f>HYPERLINK("http://twitter.com/download/android","Twitter for Android")</f>
        <v>Twitter for Android</v>
      </c>
      <c r="L442" s="13">
        <v>13</v>
      </c>
      <c r="M442" s="13">
        <v>89</v>
      </c>
      <c r="N442" s="13">
        <v>0</v>
      </c>
      <c r="O442" s="15"/>
      <c r="P442" s="6">
        <v>41867.931956018518</v>
      </c>
      <c r="Q442" s="12"/>
      <c r="R442" s="19"/>
      <c r="S442" s="12"/>
      <c r="T442" s="12"/>
      <c r="U442" s="10" t="str">
        <f>HYPERLINK("https://pbs.twimg.com/profile_images/980355173238411265/T4vg5apF.jpg","View")</f>
        <v>View</v>
      </c>
    </row>
    <row r="443" spans="1:21" ht="51">
      <c r="A443" s="6">
        <v>43426.700150462959</v>
      </c>
      <c r="B443" s="7" t="str">
        <f>HYPERLINK("https://twitter.com/CsLaRioja","@CsLaRioja")</f>
        <v>@CsLaRioja</v>
      </c>
      <c r="C443" s="8" t="s">
        <v>1000</v>
      </c>
      <c r="D443" s="9" t="s">
        <v>1189</v>
      </c>
      <c r="E443" s="10" t="str">
        <f>HYPERLINK("https://twitter.com/CsLaRioja/status/1065633053500940288","1065633053500940288")</f>
        <v>1065633053500940288</v>
      </c>
      <c r="F443" s="12"/>
      <c r="G443" s="11" t="s">
        <v>1190</v>
      </c>
      <c r="H443" s="12"/>
      <c r="I443" s="13">
        <v>1</v>
      </c>
      <c r="J443" s="13">
        <v>2</v>
      </c>
      <c r="K443" s="14" t="str">
        <f>HYPERLINK("https://about.twitter.com/products/tweetdeck","TweetDeck")</f>
        <v>TweetDeck</v>
      </c>
      <c r="L443" s="13">
        <v>4219</v>
      </c>
      <c r="M443" s="13">
        <v>1618</v>
      </c>
      <c r="N443" s="13">
        <v>83</v>
      </c>
      <c r="O443" s="18" t="s">
        <v>36</v>
      </c>
      <c r="P443" s="6">
        <v>41950.884421296294</v>
      </c>
      <c r="Q443" s="16" t="s">
        <v>1007</v>
      </c>
      <c r="R443" s="17" t="s">
        <v>1008</v>
      </c>
      <c r="S443" s="11" t="s">
        <v>1009</v>
      </c>
      <c r="T443" s="12"/>
      <c r="U443" s="10" t="str">
        <f>HYPERLINK("https://pbs.twimg.com/profile_images/1053530865739988993/qxMztW6q.jpg","View")</f>
        <v>View</v>
      </c>
    </row>
    <row r="444" spans="1:21" ht="40.799999999999997">
      <c r="A444" s="6">
        <v>43426.699652777781</v>
      </c>
      <c r="B444" s="7" t="str">
        <f>HYPERLINK("https://twitter.com/truewolf8","@truewolf8")</f>
        <v>@truewolf8</v>
      </c>
      <c r="C444" s="8" t="s">
        <v>2529</v>
      </c>
      <c r="D444" s="9" t="s">
        <v>2530</v>
      </c>
      <c r="E444" s="10" t="str">
        <f>HYPERLINK("https://twitter.com/truewolf8/status/1065632874785837056","1065632874785837056")</f>
        <v>1065632874785837056</v>
      </c>
      <c r="F444" s="16" t="s">
        <v>2532</v>
      </c>
      <c r="G444" s="12"/>
      <c r="H444" s="12"/>
      <c r="I444" s="13">
        <v>0</v>
      </c>
      <c r="J444" s="13">
        <v>0</v>
      </c>
      <c r="K444" s="14" t="str">
        <f>HYPERLINK("http://twitter.com/download/iphone","Twitter for iPhone")</f>
        <v>Twitter for iPhone</v>
      </c>
      <c r="L444" s="13">
        <v>49</v>
      </c>
      <c r="M444" s="13">
        <v>68</v>
      </c>
      <c r="N444" s="13">
        <v>0</v>
      </c>
      <c r="O444" s="15"/>
      <c r="P444" s="6">
        <v>41994.537627314814</v>
      </c>
      <c r="Q444" s="16" t="s">
        <v>2535</v>
      </c>
      <c r="R444" s="19"/>
      <c r="S444" s="12"/>
      <c r="T444" s="12"/>
      <c r="U444" s="10" t="str">
        <f>HYPERLINK("https://pbs.twimg.com/profile_images/966347274317070336/Aoienti2.jpg","View")</f>
        <v>View</v>
      </c>
    </row>
    <row r="445" spans="1:21" ht="51">
      <c r="A445" s="6">
        <v>43426.697488425925</v>
      </c>
      <c r="B445" s="7" t="str">
        <f>HYPERLINK("https://twitter.com/AznarConZ","@AznarConZ")</f>
        <v>@AznarConZ</v>
      </c>
      <c r="C445" s="8" t="s">
        <v>2538</v>
      </c>
      <c r="D445" s="9" t="s">
        <v>2539</v>
      </c>
      <c r="E445" s="10" t="str">
        <f>HYPERLINK("https://twitter.com/AznarConZ/status/1065632088341340160","1065632088341340160")</f>
        <v>1065632088341340160</v>
      </c>
      <c r="F445" s="12"/>
      <c r="G445" s="12"/>
      <c r="H445" s="12"/>
      <c r="I445" s="13">
        <v>0</v>
      </c>
      <c r="J445" s="13">
        <v>3</v>
      </c>
      <c r="K445" s="14" t="str">
        <f>HYPERLINK("http://twitter.com/download/android","Twitter for Android")</f>
        <v>Twitter for Android</v>
      </c>
      <c r="L445" s="13">
        <v>313</v>
      </c>
      <c r="M445" s="13">
        <v>594</v>
      </c>
      <c r="N445" s="13">
        <v>5</v>
      </c>
      <c r="O445" s="15"/>
      <c r="P445" s="6">
        <v>40962.502800925926</v>
      </c>
      <c r="Q445" s="16" t="s">
        <v>181</v>
      </c>
      <c r="R445" s="17" t="s">
        <v>2543</v>
      </c>
      <c r="S445" s="11" t="s">
        <v>2544</v>
      </c>
      <c r="T445" s="12"/>
      <c r="U445" s="10" t="str">
        <f>HYPERLINK("https://pbs.twimg.com/profile_images/1064174991024037888/ttpkUnEh.jpg","View")</f>
        <v>View</v>
      </c>
    </row>
    <row r="446" spans="1:21" ht="20.399999999999999">
      <c r="A446" s="6">
        <v>43426.696446759262</v>
      </c>
      <c r="B446" s="7" t="str">
        <f>HYPERLINK("https://twitter.com/zbarbar70","@zbarbar70")</f>
        <v>@zbarbar70</v>
      </c>
      <c r="C446" s="8" t="s">
        <v>2547</v>
      </c>
      <c r="D446" s="9" t="s">
        <v>632</v>
      </c>
      <c r="E446" s="10" t="str">
        <f>HYPERLINK("https://twitter.com/zbarbar70/status/1065631714389692418","1065631714389692418")</f>
        <v>1065631714389692418</v>
      </c>
      <c r="F446" s="11" t="s">
        <v>635</v>
      </c>
      <c r="G446" s="12"/>
      <c r="H446" s="12"/>
      <c r="I446" s="13">
        <v>0</v>
      </c>
      <c r="J446" s="13">
        <v>0</v>
      </c>
      <c r="K446" s="14" t="str">
        <f>HYPERLINK("http://twitter.com","Twitter Web Client")</f>
        <v>Twitter Web Client</v>
      </c>
      <c r="L446" s="13">
        <v>133</v>
      </c>
      <c r="M446" s="13">
        <v>422</v>
      </c>
      <c r="N446" s="13">
        <v>0</v>
      </c>
      <c r="O446" s="15"/>
      <c r="P446" s="6">
        <v>42507.970185185186</v>
      </c>
      <c r="Q446" s="16" t="s">
        <v>2550</v>
      </c>
      <c r="R446" s="17" t="s">
        <v>2551</v>
      </c>
      <c r="S446" s="11" t="s">
        <v>2552</v>
      </c>
      <c r="T446" s="12"/>
      <c r="U446" s="10" t="str">
        <f>HYPERLINK("https://pbs.twimg.com/profile_images/1007883089459150848/SnFqm4f4.jpg","View")</f>
        <v>View</v>
      </c>
    </row>
    <row r="447" spans="1:21" ht="30.6">
      <c r="A447" s="6">
        <v>43426.69594907407</v>
      </c>
      <c r="B447" s="7" t="str">
        <f>HYPERLINK("https://twitter.com/AlbertoPriego","@AlbertoPriego")</f>
        <v>@AlbertoPriego</v>
      </c>
      <c r="C447" s="8" t="s">
        <v>2556</v>
      </c>
      <c r="D447" s="9" t="s">
        <v>2557</v>
      </c>
      <c r="E447" s="10" t="str">
        <f>HYPERLINK("https://twitter.com/AlbertoPriego/status/1065631533191569409","1065631533191569409")</f>
        <v>1065631533191569409</v>
      </c>
      <c r="F447" s="11" t="s">
        <v>635</v>
      </c>
      <c r="G447" s="12"/>
      <c r="H447" s="12"/>
      <c r="I447" s="13">
        <v>0</v>
      </c>
      <c r="J447" s="13">
        <v>0</v>
      </c>
      <c r="K447" s="14" t="str">
        <f>HYPERLINK("http://twitter.com/download/iphone","Twitter for iPhone")</f>
        <v>Twitter for iPhone</v>
      </c>
      <c r="L447" s="13">
        <v>1388</v>
      </c>
      <c r="M447" s="13">
        <v>2477</v>
      </c>
      <c r="N447" s="13">
        <v>26</v>
      </c>
      <c r="O447" s="15"/>
      <c r="P447" s="6">
        <v>40304.756122685183</v>
      </c>
      <c r="Q447" s="16" t="s">
        <v>440</v>
      </c>
      <c r="R447" s="17" t="s">
        <v>2560</v>
      </c>
      <c r="S447" s="12"/>
      <c r="T447" s="12"/>
      <c r="U447" s="10" t="str">
        <f>HYPERLINK("https://pbs.twimg.com/profile_images/785482158399975424/l2h_iMrz.jpg","View")</f>
        <v>View</v>
      </c>
    </row>
    <row r="448" spans="1:21" ht="30.6">
      <c r="A448" s="6">
        <v>43426.695706018523</v>
      </c>
      <c r="B448" s="7" t="str">
        <f>HYPERLINK("https://twitter.com/CsCongreso","@CsCongreso")</f>
        <v>@CsCongreso</v>
      </c>
      <c r="C448" s="8" t="s">
        <v>468</v>
      </c>
      <c r="D448" s="9" t="s">
        <v>1194</v>
      </c>
      <c r="E448" s="10" t="str">
        <f>HYPERLINK("https://twitter.com/CsCongreso/status/1065631444314320896","1065631444314320896")</f>
        <v>1065631444314320896</v>
      </c>
      <c r="F448" s="11" t="s">
        <v>579</v>
      </c>
      <c r="G448" s="11" t="s">
        <v>1197</v>
      </c>
      <c r="H448" s="12"/>
      <c r="I448" s="13">
        <v>42</v>
      </c>
      <c r="J448" s="13">
        <v>70</v>
      </c>
      <c r="K448" s="14" t="str">
        <f>HYPERLINK("http://twitter.com","Twitter Web Client")</f>
        <v>Twitter Web Client</v>
      </c>
      <c r="L448" s="13">
        <v>35433</v>
      </c>
      <c r="M448" s="13">
        <v>10003</v>
      </c>
      <c r="N448" s="13">
        <v>415</v>
      </c>
      <c r="O448" s="18" t="s">
        <v>36</v>
      </c>
      <c r="P448" s="6">
        <v>41533.434733796297</v>
      </c>
      <c r="Q448" s="16" t="s">
        <v>37</v>
      </c>
      <c r="R448" s="17" t="s">
        <v>472</v>
      </c>
      <c r="S448" s="11" t="s">
        <v>473</v>
      </c>
      <c r="T448" s="12"/>
      <c r="U448" s="10" t="str">
        <f>HYPERLINK("https://pbs.twimg.com/profile_images/885163719302557696/v7WiRi0W.jpg","View")</f>
        <v>View</v>
      </c>
    </row>
    <row r="449" spans="1:21" ht="30.6">
      <c r="A449" s="6">
        <v>43426.694918981477</v>
      </c>
      <c r="B449" s="7" t="str">
        <f>HYPERLINK("https://twitter.com/salvadoresquius","@salvadoresquius")</f>
        <v>@salvadoresquius</v>
      </c>
      <c r="C449" s="8" t="s">
        <v>2568</v>
      </c>
      <c r="D449" s="9" t="s">
        <v>2569</v>
      </c>
      <c r="E449" s="10" t="str">
        <f>HYPERLINK("https://twitter.com/salvadoresquius/status/1065631160334721024","1065631160334721024")</f>
        <v>1065631160334721024</v>
      </c>
      <c r="F449" s="11" t="s">
        <v>635</v>
      </c>
      <c r="G449" s="12"/>
      <c r="H449" s="12"/>
      <c r="I449" s="13">
        <v>0</v>
      </c>
      <c r="J449" s="13">
        <v>0</v>
      </c>
      <c r="K449" s="14" t="str">
        <f>HYPERLINK("http://twitter.com/download/android","Twitter for Android")</f>
        <v>Twitter for Android</v>
      </c>
      <c r="L449" s="13">
        <v>18</v>
      </c>
      <c r="M449" s="13">
        <v>15</v>
      </c>
      <c r="N449" s="13">
        <v>0</v>
      </c>
      <c r="O449" s="15"/>
      <c r="P449" s="6">
        <v>41721.548773148148</v>
      </c>
      <c r="Q449" s="12"/>
      <c r="R449" s="19"/>
      <c r="S449" s="12"/>
      <c r="T449" s="12"/>
      <c r="U449" s="18" t="s">
        <v>559</v>
      </c>
    </row>
    <row r="450" spans="1:21" ht="40.799999999999997">
      <c r="A450" s="6">
        <v>43426.693773148145</v>
      </c>
      <c r="B450" s="7" t="str">
        <f>HYPERLINK("https://twitter.com/Tonicanto1","@Tonicanto1")</f>
        <v>@Tonicanto1</v>
      </c>
      <c r="C450" s="8" t="s">
        <v>2575</v>
      </c>
      <c r="D450" s="9" t="s">
        <v>2576</v>
      </c>
      <c r="E450" s="10" t="str">
        <f>HYPERLINK("https://twitter.com/Tonicanto1/status/1065630742619803649","1065630742619803649")</f>
        <v>1065630742619803649</v>
      </c>
      <c r="F450" s="11" t="s">
        <v>635</v>
      </c>
      <c r="G450" s="12"/>
      <c r="H450" s="12"/>
      <c r="I450" s="13">
        <v>794</v>
      </c>
      <c r="J450" s="13">
        <v>1884</v>
      </c>
      <c r="K450" s="14" t="str">
        <f>HYPERLINK("http://twitter.com/download/iphone","Twitter for iPhone")</f>
        <v>Twitter for iPhone</v>
      </c>
      <c r="L450" s="13">
        <v>222026</v>
      </c>
      <c r="M450" s="13">
        <v>2349</v>
      </c>
      <c r="N450" s="13">
        <v>2476</v>
      </c>
      <c r="O450" s="18" t="s">
        <v>36</v>
      </c>
      <c r="P450" s="6">
        <v>40582.553437499999</v>
      </c>
      <c r="Q450" s="12"/>
      <c r="R450" s="17" t="s">
        <v>2579</v>
      </c>
      <c r="S450" s="12"/>
      <c r="T450" s="12"/>
      <c r="U450" s="10" t="str">
        <f>HYPERLINK("https://pbs.twimg.com/profile_images/810553492003844096/yhXB9xXt.jpg","View")</f>
        <v>View</v>
      </c>
    </row>
    <row r="451" spans="1:21" ht="51">
      <c r="A451" s="6">
        <v>43426.687604166669</v>
      </c>
      <c r="B451" s="7" t="str">
        <f>HYPERLINK("https://twitter.com/DRYmadrid","@DRYmadrid")</f>
        <v>@DRYmadrid</v>
      </c>
      <c r="C451" s="8" t="s">
        <v>2581</v>
      </c>
      <c r="D451" s="9" t="s">
        <v>2582</v>
      </c>
      <c r="E451" s="10" t="str">
        <f>HYPERLINK("https://twitter.com/DRYmadrid/status/1065628509211521024","1065628509211521024")</f>
        <v>1065628509211521024</v>
      </c>
      <c r="F451" s="11" t="s">
        <v>2583</v>
      </c>
      <c r="G451" s="12"/>
      <c r="H451" s="12"/>
      <c r="I451" s="13">
        <v>2</v>
      </c>
      <c r="J451" s="13">
        <v>1</v>
      </c>
      <c r="K451" s="14" t="str">
        <f>HYPERLINK("http://www.facebook.com/twitter","Facebook")</f>
        <v>Facebook</v>
      </c>
      <c r="L451" s="13">
        <v>30031</v>
      </c>
      <c r="M451" s="13">
        <v>1559</v>
      </c>
      <c r="N451" s="13">
        <v>667</v>
      </c>
      <c r="O451" s="15"/>
      <c r="P451" s="6">
        <v>40680.0078125</v>
      </c>
      <c r="Q451" s="16" t="s">
        <v>496</v>
      </c>
      <c r="R451" s="17" t="s">
        <v>2584</v>
      </c>
      <c r="S451" s="11" t="s">
        <v>2585</v>
      </c>
      <c r="T451" s="12"/>
      <c r="U451" s="10" t="str">
        <f>HYPERLINK("https://pbs.twimg.com/profile_images/2779083725/26a5da2da144938bba56e71e88561381.jpeg","View")</f>
        <v>View</v>
      </c>
    </row>
    <row r="452" spans="1:21" ht="102">
      <c r="A452" s="6">
        <v>43426.685208333336</v>
      </c>
      <c r="B452" s="7" t="str">
        <f>HYPERLINK("https://twitter.com/cluque02","@cluque02")</f>
        <v>@cluque02</v>
      </c>
      <c r="C452" s="8" t="s">
        <v>221</v>
      </c>
      <c r="D452" s="9" t="s">
        <v>1203</v>
      </c>
      <c r="E452" s="10" t="str">
        <f>HYPERLINK("https://twitter.com/cluque02/status/1065627641494024192","1065627641494024192")</f>
        <v>1065627641494024192</v>
      </c>
      <c r="F452" s="16" t="s">
        <v>1204</v>
      </c>
      <c r="G452" s="12"/>
      <c r="H452" s="12"/>
      <c r="I452" s="13">
        <v>0</v>
      </c>
      <c r="J452" s="13">
        <v>0</v>
      </c>
      <c r="K452" s="14" t="str">
        <f>HYPERLINK("http://twitter.com/download/iphone","Twitter for iPhone")</f>
        <v>Twitter for iPhone</v>
      </c>
      <c r="L452" s="13">
        <v>42</v>
      </c>
      <c r="M452" s="13">
        <v>367</v>
      </c>
      <c r="N452" s="13">
        <v>0</v>
      </c>
      <c r="O452" s="15"/>
      <c r="P452" s="6">
        <v>40467.656145833331</v>
      </c>
      <c r="Q452" s="12"/>
      <c r="R452" s="17" t="s">
        <v>1205</v>
      </c>
      <c r="S452" s="12"/>
      <c r="T452" s="12"/>
      <c r="U452" s="10" t="str">
        <f>HYPERLINK("https://pbs.twimg.com/profile_images/1006528908848697345/nzva8-95.jpg","View")</f>
        <v>View</v>
      </c>
    </row>
    <row r="453" spans="1:21" ht="20.399999999999999">
      <c r="A453" s="6">
        <v>43426.682881944449</v>
      </c>
      <c r="B453" s="7" t="str">
        <f>HYPERLINK("https://twitter.com/FernandoMLainez","@FernandoMLainez")</f>
        <v>@FernandoMLainez</v>
      </c>
      <c r="C453" s="8" t="s">
        <v>2594</v>
      </c>
      <c r="D453" s="9" t="s">
        <v>632</v>
      </c>
      <c r="E453" s="10" t="str">
        <f>HYPERLINK("https://twitter.com/FernandoMLainez/status/1065626796438228992","1065626796438228992")</f>
        <v>1065626796438228992</v>
      </c>
      <c r="F453" s="11" t="s">
        <v>635</v>
      </c>
      <c r="G453" s="12"/>
      <c r="H453" s="12"/>
      <c r="I453" s="13">
        <v>0</v>
      </c>
      <c r="J453" s="13">
        <v>0</v>
      </c>
      <c r="K453" s="14" t="str">
        <f>HYPERLINK("http://twitter.com","Twitter Web Client")</f>
        <v>Twitter Web Client</v>
      </c>
      <c r="L453" s="13">
        <v>732</v>
      </c>
      <c r="M453" s="13">
        <v>1230</v>
      </c>
      <c r="N453" s="13">
        <v>26</v>
      </c>
      <c r="O453" s="15"/>
      <c r="P453" s="6">
        <v>40821.593449074076</v>
      </c>
      <c r="Q453" s="16" t="s">
        <v>496</v>
      </c>
      <c r="R453" s="17" t="s">
        <v>2600</v>
      </c>
      <c r="S453" s="12"/>
      <c r="T453" s="12"/>
      <c r="U453" s="10" t="str">
        <f>HYPERLINK("https://pbs.twimg.com/profile_images/498027722602328064/cAcrqhKN.jpeg","View")</f>
        <v>View</v>
      </c>
    </row>
    <row r="454" spans="1:21" ht="51">
      <c r="A454" s="6">
        <v>43426.679363425923</v>
      </c>
      <c r="B454" s="7" t="str">
        <f>HYPERLINK("https://twitter.com/Jolu1970Jose","@Jolu1970Jose")</f>
        <v>@Jolu1970Jose</v>
      </c>
      <c r="C454" s="8" t="s">
        <v>1206</v>
      </c>
      <c r="D454" s="9" t="s">
        <v>1207</v>
      </c>
      <c r="E454" s="10" t="str">
        <f>HYPERLINK("https://twitter.com/Jolu1970Jose/status/1065625523001442304","1065625523001442304")</f>
        <v>1065625523001442304</v>
      </c>
      <c r="F454" s="11" t="s">
        <v>635</v>
      </c>
      <c r="G454" s="12"/>
      <c r="H454" s="12"/>
      <c r="I454" s="13">
        <v>1</v>
      </c>
      <c r="J454" s="13">
        <v>2</v>
      </c>
      <c r="K454" s="14" t="str">
        <f t="shared" ref="K454:K455" si="89">HYPERLINK("http://twitter.com/download/android","Twitter for Android")</f>
        <v>Twitter for Android</v>
      </c>
      <c r="L454" s="13">
        <v>2345</v>
      </c>
      <c r="M454" s="13">
        <v>2493</v>
      </c>
      <c r="N454" s="13">
        <v>22</v>
      </c>
      <c r="O454" s="15"/>
      <c r="P454" s="6">
        <v>40681.964178240742</v>
      </c>
      <c r="Q454" s="12"/>
      <c r="R454" s="17" t="s">
        <v>1208</v>
      </c>
      <c r="S454" s="12"/>
      <c r="T454" s="12"/>
      <c r="U454" s="10" t="str">
        <f>HYPERLINK("https://pbs.twimg.com/profile_images/997194518444175360/dnaJJ08L.jpg","View")</f>
        <v>View</v>
      </c>
    </row>
    <row r="455" spans="1:21" ht="51">
      <c r="A455" s="6">
        <v>43426.678935185184</v>
      </c>
      <c r="B455" s="7" t="str">
        <f>HYPERLINK("https://twitter.com/PepeFdez2018","@PepeFdez2018")</f>
        <v>@PepeFdez2018</v>
      </c>
      <c r="C455" s="8" t="s">
        <v>1211</v>
      </c>
      <c r="D455" s="9" t="s">
        <v>1212</v>
      </c>
      <c r="E455" s="10" t="str">
        <f>HYPERLINK("https://twitter.com/PepeFdez2018/status/1065625368651018241","1065625368651018241")</f>
        <v>1065625368651018241</v>
      </c>
      <c r="F455" s="11" t="s">
        <v>1213</v>
      </c>
      <c r="G455" s="12"/>
      <c r="H455" s="12"/>
      <c r="I455" s="13">
        <v>0</v>
      </c>
      <c r="J455" s="13">
        <v>1</v>
      </c>
      <c r="K455" s="14" t="str">
        <f t="shared" si="89"/>
        <v>Twitter for Android</v>
      </c>
      <c r="L455" s="13">
        <v>48</v>
      </c>
      <c r="M455" s="13">
        <v>185</v>
      </c>
      <c r="N455" s="13">
        <v>0</v>
      </c>
      <c r="O455" s="15"/>
      <c r="P455" s="6">
        <v>43184.830254629633</v>
      </c>
      <c r="Q455" s="16" t="s">
        <v>366</v>
      </c>
      <c r="R455" s="17" t="s">
        <v>1216</v>
      </c>
      <c r="S455" s="12"/>
      <c r="T455" s="12"/>
      <c r="U455" s="10" t="str">
        <f>HYPERLINK("https://pbs.twimg.com/profile_images/995747195042390017/yK9jMHHx.jpg","View")</f>
        <v>View</v>
      </c>
    </row>
    <row r="456" spans="1:21" ht="71.400000000000006">
      <c r="A456" s="6">
        <v>43426.678784722222</v>
      </c>
      <c r="B456" s="7" t="str">
        <f>HYPERLINK("https://twitter.com/coruxa","@coruxa")</f>
        <v>@coruxa</v>
      </c>
      <c r="C456" s="8" t="s">
        <v>2624</v>
      </c>
      <c r="D456" s="9" t="s">
        <v>2625</v>
      </c>
      <c r="E456" s="10" t="str">
        <f>HYPERLINK("https://twitter.com/coruxa/status/1065625313722421249","1065625313722421249")</f>
        <v>1065625313722421249</v>
      </c>
      <c r="F456" s="11" t="s">
        <v>2628</v>
      </c>
      <c r="G456" s="11" t="s">
        <v>2629</v>
      </c>
      <c r="H456" s="12"/>
      <c r="I456" s="13">
        <v>0</v>
      </c>
      <c r="J456" s="13">
        <v>2</v>
      </c>
      <c r="K456" s="14" t="str">
        <f>HYPERLINK("http://twitter.com/download/iphone","Twitter for iPhone")</f>
        <v>Twitter for iPhone</v>
      </c>
      <c r="L456" s="13">
        <v>996</v>
      </c>
      <c r="M456" s="13">
        <v>651</v>
      </c>
      <c r="N456" s="13">
        <v>9</v>
      </c>
      <c r="O456" s="15"/>
      <c r="P456" s="6">
        <v>39812.830925925926</v>
      </c>
      <c r="Q456" s="16" t="s">
        <v>37</v>
      </c>
      <c r="R456" s="17" t="s">
        <v>2632</v>
      </c>
      <c r="S456" s="12"/>
      <c r="T456" s="12"/>
      <c r="U456" s="10" t="str">
        <f>HYPERLINK("https://pbs.twimg.com/profile_images/795389402511835136/0HMOj0KX.jpg","View")</f>
        <v>View</v>
      </c>
    </row>
    <row r="457" spans="1:21" ht="30.6">
      <c r="A457" s="6">
        <v>43426.678252314814</v>
      </c>
      <c r="B457" s="7" t="str">
        <f>HYPERLINK("https://twitter.com/NaranjitoExpres","@NaranjitoExpres")</f>
        <v>@NaranjitoExpres</v>
      </c>
      <c r="C457" s="8" t="s">
        <v>2637</v>
      </c>
      <c r="D457" s="9" t="s">
        <v>2638</v>
      </c>
      <c r="E457" s="10" t="str">
        <f>HYPERLINK("https://twitter.com/NaranjitoExpres/status/1065625120562208769","1065625120562208769")</f>
        <v>1065625120562208769</v>
      </c>
      <c r="F457" s="11" t="s">
        <v>2640</v>
      </c>
      <c r="G457" s="12"/>
      <c r="H457" s="12"/>
      <c r="I457" s="13">
        <v>0</v>
      </c>
      <c r="J457" s="13">
        <v>0</v>
      </c>
      <c r="K457" s="14" t="str">
        <f>HYPERLINK("https://ifttt.com","IFTTT")</f>
        <v>IFTTT</v>
      </c>
      <c r="L457" s="13">
        <v>1336</v>
      </c>
      <c r="M457" s="13">
        <v>1186</v>
      </c>
      <c r="N457" s="13">
        <v>8</v>
      </c>
      <c r="O457" s="15"/>
      <c r="P457" s="6">
        <v>42301.67768518519</v>
      </c>
      <c r="Q457" s="16" t="s">
        <v>118</v>
      </c>
      <c r="R457" s="17" t="s">
        <v>2643</v>
      </c>
      <c r="S457" s="11" t="s">
        <v>1880</v>
      </c>
      <c r="T457" s="12"/>
      <c r="U457" s="10" t="str">
        <f>HYPERLINK("https://pbs.twimg.com/profile_images/894744160279941120/fVCv-yaU.jpg","View")</f>
        <v>View</v>
      </c>
    </row>
    <row r="458" spans="1:21" ht="51">
      <c r="A458" s="6">
        <v>43426.677928240737</v>
      </c>
      <c r="B458" s="7" t="str">
        <f>HYPERLINK("https://twitter.com/LuisJavierSanj2","@LuisJavierSanj2")</f>
        <v>@LuisJavierSanj2</v>
      </c>
      <c r="C458" s="8" t="s">
        <v>2648</v>
      </c>
      <c r="D458" s="9" t="s">
        <v>2649</v>
      </c>
      <c r="E458" s="10" t="str">
        <f>HYPERLINK("https://twitter.com/LuisJavierSanj2/status/1065625000772722688","1065625000772722688")</f>
        <v>1065625000772722688</v>
      </c>
      <c r="F458" s="11" t="s">
        <v>2078</v>
      </c>
      <c r="G458" s="12"/>
      <c r="H458" s="12"/>
      <c r="I458" s="13">
        <v>0</v>
      </c>
      <c r="J458" s="13">
        <v>0</v>
      </c>
      <c r="K458" s="14" t="str">
        <f t="shared" ref="K458:K459" si="90">HYPERLINK("http://twitter.com/download/android","Twitter for Android")</f>
        <v>Twitter for Android</v>
      </c>
      <c r="L458" s="13">
        <v>809</v>
      </c>
      <c r="M458" s="13">
        <v>1236</v>
      </c>
      <c r="N458" s="13">
        <v>1</v>
      </c>
      <c r="O458" s="15"/>
      <c r="P458" s="6">
        <v>43017.871759259258</v>
      </c>
      <c r="Q458" s="12"/>
      <c r="R458" s="17" t="s">
        <v>2655</v>
      </c>
      <c r="S458" s="12"/>
      <c r="T458" s="12"/>
      <c r="U458" s="10" t="str">
        <f>HYPERLINK("https://pbs.twimg.com/profile_images/983037090681245696/C-KQIcbF.jpg","View")</f>
        <v>View</v>
      </c>
    </row>
    <row r="459" spans="1:21" ht="71.400000000000006">
      <c r="A459" s="6">
        <v>43426.677858796298</v>
      </c>
      <c r="B459" s="7" t="str">
        <f>HYPERLINK("https://twitter.com/Freedomfigtherr","@Freedomfigtherr")</f>
        <v>@Freedomfigtherr</v>
      </c>
      <c r="C459" s="8" t="s">
        <v>1217</v>
      </c>
      <c r="D459" s="9" t="s">
        <v>1218</v>
      </c>
      <c r="E459" s="10" t="str">
        <f>HYPERLINK("https://twitter.com/Freedomfigtherr/status/1065624977951678464","1065624977951678464")</f>
        <v>1065624977951678464</v>
      </c>
      <c r="F459" s="12"/>
      <c r="G459" s="11" t="s">
        <v>1219</v>
      </c>
      <c r="H459" s="12"/>
      <c r="I459" s="13">
        <v>1</v>
      </c>
      <c r="J459" s="13">
        <v>0</v>
      </c>
      <c r="K459" s="14" t="str">
        <f t="shared" si="90"/>
        <v>Twitter for Android</v>
      </c>
      <c r="L459" s="13">
        <v>167</v>
      </c>
      <c r="M459" s="13">
        <v>466</v>
      </c>
      <c r="N459" s="13">
        <v>0</v>
      </c>
      <c r="O459" s="15"/>
      <c r="P459" s="6">
        <v>43000.981180555551</v>
      </c>
      <c r="Q459" s="12"/>
      <c r="R459" s="17" t="s">
        <v>1220</v>
      </c>
      <c r="S459" s="12"/>
      <c r="T459" s="12"/>
      <c r="U459" s="10" t="str">
        <f>HYPERLINK("https://pbs.twimg.com/profile_images/1019869956236771329/eJxxitKz.jpg","View")</f>
        <v>View</v>
      </c>
    </row>
    <row r="460" spans="1:21" ht="51">
      <c r="A460" s="6">
        <v>43426.676585648151</v>
      </c>
      <c r="B460" s="7" t="str">
        <f>HYPERLINK("https://twitter.com/JosepLDomenech","@JosepLDomenech")</f>
        <v>@JosepLDomenech</v>
      </c>
      <c r="C460" s="8" t="s">
        <v>1221</v>
      </c>
      <c r="D460" s="9" t="s">
        <v>1222</v>
      </c>
      <c r="E460" s="10" t="str">
        <f>HYPERLINK("https://twitter.com/JosepLDomenech/status/1065624515856740353","1065624515856740353")</f>
        <v>1065624515856740353</v>
      </c>
      <c r="F460" s="12"/>
      <c r="G460" s="11" t="s">
        <v>1223</v>
      </c>
      <c r="H460" s="12"/>
      <c r="I460" s="13">
        <v>2</v>
      </c>
      <c r="J460" s="13">
        <v>4</v>
      </c>
      <c r="K460" s="14" t="str">
        <f>HYPERLINK("http://twitter.com","Twitter Web Client")</f>
        <v>Twitter Web Client</v>
      </c>
      <c r="L460" s="13">
        <v>18085</v>
      </c>
      <c r="M460" s="13">
        <v>6815</v>
      </c>
      <c r="N460" s="13">
        <v>31</v>
      </c>
      <c r="O460" s="15"/>
      <c r="P460" s="6">
        <v>39867.759328703702</v>
      </c>
      <c r="Q460" s="16" t="s">
        <v>75</v>
      </c>
      <c r="R460" s="17" t="s">
        <v>1224</v>
      </c>
      <c r="S460" s="11" t="s">
        <v>1225</v>
      </c>
      <c r="T460" s="12"/>
      <c r="U460" s="10" t="str">
        <f>HYPERLINK("https://pbs.twimg.com/profile_images/943995685837426688/6jJXcIyg.jpg","View")</f>
        <v>View</v>
      </c>
    </row>
    <row r="461" spans="1:21" ht="30.6">
      <c r="A461" s="6">
        <v>43426.675787037035</v>
      </c>
      <c r="B461" s="7" t="str">
        <f>HYPERLINK("https://twitter.com/Reyentus","@Reyentus")</f>
        <v>@Reyentus</v>
      </c>
      <c r="C461" s="8" t="s">
        <v>2668</v>
      </c>
      <c r="D461" s="9" t="s">
        <v>2669</v>
      </c>
      <c r="E461" s="10" t="str">
        <f>HYPERLINK("https://twitter.com/Reyentus/status/1065624228060368898","1065624228060368898")</f>
        <v>1065624228060368898</v>
      </c>
      <c r="F461" s="12"/>
      <c r="G461" s="12"/>
      <c r="H461" s="12"/>
      <c r="I461" s="13">
        <v>0</v>
      </c>
      <c r="J461" s="13">
        <v>0</v>
      </c>
      <c r="K461" s="14" t="str">
        <f>HYPERLINK("http://oysttyer.github.io/oysttyer/","oysttyer")</f>
        <v>oysttyer</v>
      </c>
      <c r="L461" s="13">
        <v>146</v>
      </c>
      <c r="M461" s="13">
        <v>121</v>
      </c>
      <c r="N461" s="13">
        <v>7</v>
      </c>
      <c r="O461" s="15"/>
      <c r="P461" s="6">
        <v>40471.531168981484</v>
      </c>
      <c r="Q461" s="16" t="s">
        <v>2673</v>
      </c>
      <c r="R461" s="17" t="s">
        <v>2674</v>
      </c>
      <c r="S461" s="11" t="s">
        <v>2675</v>
      </c>
      <c r="T461" s="12"/>
      <c r="U461" s="10" t="str">
        <f>HYPERLINK("https://pbs.twimg.com/profile_images/1991178570/Issei.png","View")</f>
        <v>View</v>
      </c>
    </row>
    <row r="462" spans="1:21" ht="51">
      <c r="A462" s="6">
        <v>43426.67454861111</v>
      </c>
      <c r="B462" s="7" t="str">
        <f>HYPERLINK("https://twitter.com/AntoniRdguez","@AntoniRdguez")</f>
        <v>@AntoniRdguez</v>
      </c>
      <c r="C462" s="8" t="s">
        <v>2676</v>
      </c>
      <c r="D462" s="9" t="s">
        <v>2679</v>
      </c>
      <c r="E462" s="10" t="str">
        <f>HYPERLINK("https://twitter.com/AntoniRdguez/status/1065623778380664833","1065623778380664833")</f>
        <v>1065623778380664833</v>
      </c>
      <c r="F462" s="11" t="s">
        <v>2680</v>
      </c>
      <c r="G462" s="12"/>
      <c r="H462" s="12"/>
      <c r="I462" s="13">
        <v>13</v>
      </c>
      <c r="J462" s="13">
        <v>9</v>
      </c>
      <c r="K462" s="14" t="str">
        <f t="shared" ref="K462:K463" si="91">HYPERLINK("http://twitter.com","Twitter Web Client")</f>
        <v>Twitter Web Client</v>
      </c>
      <c r="L462" s="13">
        <v>8158</v>
      </c>
      <c r="M462" s="13">
        <v>7359</v>
      </c>
      <c r="N462" s="13">
        <v>18</v>
      </c>
      <c r="O462" s="15"/>
      <c r="P462" s="6">
        <v>43040.839803240742</v>
      </c>
      <c r="Q462" s="16" t="s">
        <v>2683</v>
      </c>
      <c r="R462" s="17" t="s">
        <v>2684</v>
      </c>
      <c r="S462" s="12"/>
      <c r="T462" s="12"/>
      <c r="U462" s="10" t="str">
        <f>HYPERLINK("https://pbs.twimg.com/profile_images/990287461405413376/ert8FM5w.jpg","View")</f>
        <v>View</v>
      </c>
    </row>
    <row r="463" spans="1:21" ht="20.399999999999999">
      <c r="A463" s="6">
        <v>43426.672916666663</v>
      </c>
      <c r="B463" s="7" t="str">
        <f>HYPERLINK("https://twitter.com/albertoarregui_","@albertoarregui_")</f>
        <v>@albertoarregui_</v>
      </c>
      <c r="C463" s="8" t="s">
        <v>2686</v>
      </c>
      <c r="D463" s="9" t="s">
        <v>1465</v>
      </c>
      <c r="E463" s="10" t="str">
        <f>HYPERLINK("https://twitter.com/albertoarregui_/status/1065623184530202626","1065623184530202626")</f>
        <v>1065623184530202626</v>
      </c>
      <c r="F463" s="11" t="s">
        <v>635</v>
      </c>
      <c r="G463" s="12"/>
      <c r="H463" s="12"/>
      <c r="I463" s="13">
        <v>0</v>
      </c>
      <c r="J463" s="13">
        <v>1</v>
      </c>
      <c r="K463" s="14" t="str">
        <f t="shared" si="91"/>
        <v>Twitter Web Client</v>
      </c>
      <c r="L463" s="13">
        <v>1459</v>
      </c>
      <c r="M463" s="13">
        <v>2819</v>
      </c>
      <c r="N463" s="13">
        <v>77</v>
      </c>
      <c r="O463" s="15"/>
      <c r="P463" s="6">
        <v>41358.432847222226</v>
      </c>
      <c r="Q463" s="16" t="s">
        <v>2687</v>
      </c>
      <c r="R463" s="17" t="s">
        <v>2689</v>
      </c>
      <c r="S463" s="12"/>
      <c r="T463" s="12"/>
      <c r="U463" s="10" t="str">
        <f>HYPERLINK("https://pbs.twimg.com/profile_images/1060900578186981379/InSMAxNC.jpg","View")</f>
        <v>View</v>
      </c>
    </row>
    <row r="464" spans="1:21" ht="40.799999999999997">
      <c r="A464" s="6">
        <v>43426.671909722223</v>
      </c>
      <c r="B464" s="7" t="str">
        <f>HYPERLINK("https://twitter.com/RodrigoGomGar","@RodrigoGomGar")</f>
        <v>@RodrigoGomGar</v>
      </c>
      <c r="C464" s="8" t="s">
        <v>2690</v>
      </c>
      <c r="D464" s="9" t="s">
        <v>2691</v>
      </c>
      <c r="E464" s="10" t="str">
        <f>HYPERLINK("https://twitter.com/RodrigoGomGar/status/1065622822066798593","1065622822066798593")</f>
        <v>1065622822066798593</v>
      </c>
      <c r="F464" s="11" t="s">
        <v>635</v>
      </c>
      <c r="G464" s="12"/>
      <c r="H464" s="12"/>
      <c r="I464" s="13">
        <v>4</v>
      </c>
      <c r="J464" s="13">
        <v>5</v>
      </c>
      <c r="K464" s="14" t="str">
        <f>HYPERLINK("http://twitter.com/download/iphone","Twitter for iPhone")</f>
        <v>Twitter for iPhone</v>
      </c>
      <c r="L464" s="13">
        <v>2136</v>
      </c>
      <c r="M464" s="13">
        <v>677</v>
      </c>
      <c r="N464" s="13">
        <v>79</v>
      </c>
      <c r="O464" s="18" t="s">
        <v>36</v>
      </c>
      <c r="P464" s="6">
        <v>41737.808576388888</v>
      </c>
      <c r="Q464" s="16" t="s">
        <v>2692</v>
      </c>
      <c r="R464" s="17" t="s">
        <v>2693</v>
      </c>
      <c r="S464" s="11" t="s">
        <v>2694</v>
      </c>
      <c r="T464" s="12"/>
      <c r="U464" s="10" t="str">
        <f>HYPERLINK("https://pbs.twimg.com/profile_images/832314531544186881/g5T8UYy_.jpg","View")</f>
        <v>View</v>
      </c>
    </row>
    <row r="465" spans="1:21" ht="30.6">
      <c r="A465" s="6">
        <v>43426.671620370369</v>
      </c>
      <c r="B465" s="7" t="str">
        <f>HYPERLINK("https://twitter.com/andrearopero","@andrearopero")</f>
        <v>@andrearopero</v>
      </c>
      <c r="C465" s="8" t="s">
        <v>1229</v>
      </c>
      <c r="D465" s="9" t="s">
        <v>1230</v>
      </c>
      <c r="E465" s="10" t="str">
        <f>HYPERLINK("https://twitter.com/andrearopero/status/1065622714386395136","1065622714386395136")</f>
        <v>1065622714386395136</v>
      </c>
      <c r="F465" s="12"/>
      <c r="G465" s="12"/>
      <c r="H465" s="12"/>
      <c r="I465" s="13">
        <v>4</v>
      </c>
      <c r="J465" s="13">
        <v>7</v>
      </c>
      <c r="K465" s="14" t="str">
        <f>HYPERLINK("http://twitter.com","Twitter Web Client")</f>
        <v>Twitter Web Client</v>
      </c>
      <c r="L465" s="13">
        <v>27858</v>
      </c>
      <c r="M465" s="13">
        <v>847</v>
      </c>
      <c r="N465" s="13">
        <v>296</v>
      </c>
      <c r="O465" s="18" t="s">
        <v>36</v>
      </c>
      <c r="P465" s="6">
        <v>40701.398356481484</v>
      </c>
      <c r="Q465" s="12"/>
      <c r="R465" s="17" t="s">
        <v>1234</v>
      </c>
      <c r="S465" s="12"/>
      <c r="T465" s="12"/>
      <c r="U465" s="10" t="str">
        <f>HYPERLINK("https://pbs.twimg.com/profile_images/647406440244711424/xPz94A6D.jpg","View")</f>
        <v>View</v>
      </c>
    </row>
    <row r="466" spans="1:21" ht="40.799999999999997">
      <c r="A466" s="6">
        <v>43426.67019675926</v>
      </c>
      <c r="B466" s="7" t="str">
        <f>HYPERLINK("https://twitter.com/Cs_CLM","@Cs_CLM")</f>
        <v>@Cs_CLM</v>
      </c>
      <c r="C466" s="8" t="s">
        <v>1235</v>
      </c>
      <c r="D466" s="9" t="s">
        <v>1236</v>
      </c>
      <c r="E466" s="10" t="str">
        <f>HYPERLINK("https://twitter.com/Cs_CLM/status/1065622199317471232","1065622199317471232")</f>
        <v>1065622199317471232</v>
      </c>
      <c r="F466" s="11" t="s">
        <v>470</v>
      </c>
      <c r="G466" s="11" t="s">
        <v>1237</v>
      </c>
      <c r="H466" s="12"/>
      <c r="I466" s="13">
        <v>5</v>
      </c>
      <c r="J466" s="13">
        <v>3</v>
      </c>
      <c r="K466" s="14" t="str">
        <f>HYPERLINK("http://twitter.com/download/iphone","Twitter for iPhone")</f>
        <v>Twitter for iPhone</v>
      </c>
      <c r="L466" s="13">
        <v>4223</v>
      </c>
      <c r="M466" s="13">
        <v>628</v>
      </c>
      <c r="N466" s="13">
        <v>72</v>
      </c>
      <c r="O466" s="15"/>
      <c r="P466" s="6">
        <v>42106.981793981482</v>
      </c>
      <c r="Q466" s="16" t="s">
        <v>171</v>
      </c>
      <c r="R466" s="17" t="s">
        <v>1238</v>
      </c>
      <c r="S466" s="11" t="s">
        <v>1239</v>
      </c>
      <c r="T466" s="12"/>
      <c r="U466" s="10" t="str">
        <f>HYPERLINK("https://pbs.twimg.com/profile_images/1053405513923416064/Z9jG76VP.jpg","View")</f>
        <v>View</v>
      </c>
    </row>
    <row r="467" spans="1:21" ht="40.799999999999997">
      <c r="A467" s="6">
        <v>43426.670185185183</v>
      </c>
      <c r="B467" s="7" t="str">
        <f>HYPERLINK("https://twitter.com/La_Cerca","@La_Cerca")</f>
        <v>@La_Cerca</v>
      </c>
      <c r="C467" s="8" t="s">
        <v>167</v>
      </c>
      <c r="D467" s="9" t="s">
        <v>1242</v>
      </c>
      <c r="E467" s="10" t="str">
        <f>HYPERLINK("https://twitter.com/La_Cerca/status/1065622195035090945","1065622195035090945")</f>
        <v>1065622195035090945</v>
      </c>
      <c r="F467" s="11" t="s">
        <v>1243</v>
      </c>
      <c r="G467" s="12"/>
      <c r="H467" s="12"/>
      <c r="I467" s="13">
        <v>1</v>
      </c>
      <c r="J467" s="13">
        <v>3</v>
      </c>
      <c r="K467" s="14" t="str">
        <f>HYPERLINK("http://www.lacerca.com","La Cerca")</f>
        <v>La Cerca</v>
      </c>
      <c r="L467" s="13">
        <v>18963</v>
      </c>
      <c r="M467" s="13">
        <v>4967</v>
      </c>
      <c r="N467" s="13">
        <v>336</v>
      </c>
      <c r="O467" s="18" t="s">
        <v>36</v>
      </c>
      <c r="P467" s="6">
        <v>40007.429652777777</v>
      </c>
      <c r="Q467" s="16" t="s">
        <v>171</v>
      </c>
      <c r="R467" s="17" t="s">
        <v>172</v>
      </c>
      <c r="S467" s="11" t="s">
        <v>173</v>
      </c>
      <c r="T467" s="12"/>
      <c r="U467" s="10" t="str">
        <f>HYPERLINK("https://pbs.twimg.com/profile_images/1046758213843111937/MFsiNfy0.jpg","View")</f>
        <v>View</v>
      </c>
    </row>
    <row r="468" spans="1:21" ht="30.6">
      <c r="A468" s="6">
        <v>43426.66887731482</v>
      </c>
      <c r="B468" s="7" t="str">
        <f>HYPERLINK("https://twitter.com/unmundolibre","@unmundolibre")</f>
        <v>@unmundolibre</v>
      </c>
      <c r="C468" s="8" t="s">
        <v>2707</v>
      </c>
      <c r="D468" s="9" t="s">
        <v>2709</v>
      </c>
      <c r="E468" s="10" t="str">
        <f>HYPERLINK("https://twitter.com/unmundolibre/status/1065621720642535424","1065621720642535424")</f>
        <v>1065621720642535424</v>
      </c>
      <c r="F468" s="12"/>
      <c r="G468" s="12"/>
      <c r="H468" s="12"/>
      <c r="I468" s="13">
        <v>1</v>
      </c>
      <c r="J468" s="13">
        <v>3</v>
      </c>
      <c r="K468" s="14" t="str">
        <f>HYPERLINK("http://twitter.com","Twitter Web Client")</f>
        <v>Twitter Web Client</v>
      </c>
      <c r="L468" s="13">
        <v>13605</v>
      </c>
      <c r="M468" s="13">
        <v>891</v>
      </c>
      <c r="N468" s="13">
        <v>192</v>
      </c>
      <c r="O468" s="15"/>
      <c r="P468" s="6">
        <v>39548.50172453704</v>
      </c>
      <c r="Q468" s="16" t="s">
        <v>2710</v>
      </c>
      <c r="R468" s="17" t="s">
        <v>2711</v>
      </c>
      <c r="S468" s="12"/>
      <c r="T468" s="12"/>
      <c r="U468" s="10" t="str">
        <f>HYPERLINK("https://pbs.twimg.com/profile_images/913497477600432128/CTJOp2JL.jpg","View")</f>
        <v>View</v>
      </c>
    </row>
    <row r="469" spans="1:21" ht="40.799999999999997">
      <c r="A469" s="6">
        <v>43426.66805555555</v>
      </c>
      <c r="B469" s="7" t="str">
        <f t="shared" ref="B469:B470" si="92">HYPERLINK("https://twitter.com/bitMomentum","@bitMomentum")</f>
        <v>@bitMomentum</v>
      </c>
      <c r="C469" s="8" t="s">
        <v>706</v>
      </c>
      <c r="D469" s="9" t="s">
        <v>1246</v>
      </c>
      <c r="E469" s="10" t="str">
        <f>HYPERLINK("https://twitter.com/bitMomentum/status/1065621422771396609","1065621422771396609")</f>
        <v>1065621422771396609</v>
      </c>
      <c r="F469" s="12"/>
      <c r="G469" s="12"/>
      <c r="H469" s="12"/>
      <c r="I469" s="13">
        <v>0</v>
      </c>
      <c r="J469" s="13">
        <v>0</v>
      </c>
      <c r="K469" s="14" t="str">
        <f t="shared" ref="K469:K470" si="93">HYPERLINK("http://www.bitmomentum.com","bitMomentum Bot")</f>
        <v>bitMomentum Bot</v>
      </c>
      <c r="L469" s="13">
        <v>10132</v>
      </c>
      <c r="M469" s="13">
        <v>1060</v>
      </c>
      <c r="N469" s="13">
        <v>262</v>
      </c>
      <c r="O469" s="15"/>
      <c r="P469" s="6">
        <v>41608.667511574073</v>
      </c>
      <c r="Q469" s="12"/>
      <c r="R469" s="17" t="s">
        <v>708</v>
      </c>
      <c r="S469" s="11" t="s">
        <v>709</v>
      </c>
      <c r="T469" s="12"/>
      <c r="U469" s="10" t="str">
        <f t="shared" ref="U469:U470" si="94">HYPERLINK("https://pbs.twimg.com/profile_images/378800000862185241/20ij2H3u.png","View")</f>
        <v>View</v>
      </c>
    </row>
    <row r="470" spans="1:21" ht="51">
      <c r="A470" s="6">
        <v>43426.667361111111</v>
      </c>
      <c r="B470" s="7" t="str">
        <f t="shared" si="92"/>
        <v>@bitMomentum</v>
      </c>
      <c r="C470" s="8" t="s">
        <v>706</v>
      </c>
      <c r="D470" s="9" t="s">
        <v>1247</v>
      </c>
      <c r="E470" s="10" t="str">
        <f>HYPERLINK("https://twitter.com/bitMomentum/status/1065621171268435968","1065621171268435968")</f>
        <v>1065621171268435968</v>
      </c>
      <c r="F470" s="12"/>
      <c r="G470" s="12"/>
      <c r="H470" s="12"/>
      <c r="I470" s="13">
        <v>0</v>
      </c>
      <c r="J470" s="13">
        <v>0</v>
      </c>
      <c r="K470" s="14" t="str">
        <f t="shared" si="93"/>
        <v>bitMomentum Bot</v>
      </c>
      <c r="L470" s="13">
        <v>10132</v>
      </c>
      <c r="M470" s="13">
        <v>1060</v>
      </c>
      <c r="N470" s="13">
        <v>262</v>
      </c>
      <c r="O470" s="15"/>
      <c r="P470" s="6">
        <v>41608.667511574073</v>
      </c>
      <c r="Q470" s="12"/>
      <c r="R470" s="17" t="s">
        <v>708</v>
      </c>
      <c r="S470" s="11" t="s">
        <v>709</v>
      </c>
      <c r="T470" s="12"/>
      <c r="U470" s="10" t="str">
        <f t="shared" si="94"/>
        <v>View</v>
      </c>
    </row>
    <row r="471" spans="1:21" ht="40.799999999999997">
      <c r="A471" s="6">
        <v>43426.667256944449</v>
      </c>
      <c r="B471" s="7" t="str">
        <f>HYPERLINK("https://twitter.com/ferrerodu","@ferrerodu")</f>
        <v>@ferrerodu</v>
      </c>
      <c r="C471" s="8" t="s">
        <v>2724</v>
      </c>
      <c r="D471" s="9" t="s">
        <v>2725</v>
      </c>
      <c r="E471" s="10" t="str">
        <f>HYPERLINK("https://twitter.com/ferrerodu/status/1065621133100269568","1065621133100269568")</f>
        <v>1065621133100269568</v>
      </c>
      <c r="F471" s="11" t="s">
        <v>2727</v>
      </c>
      <c r="G471" s="12"/>
      <c r="H471" s="12"/>
      <c r="I471" s="13">
        <v>15</v>
      </c>
      <c r="J471" s="13">
        <v>19</v>
      </c>
      <c r="K471" s="14" t="str">
        <f>HYPERLINK("http://twitter.com/download/android","Twitter for Android")</f>
        <v>Twitter for Android</v>
      </c>
      <c r="L471" s="13">
        <v>3221</v>
      </c>
      <c r="M471" s="13">
        <v>4997</v>
      </c>
      <c r="N471" s="13">
        <v>48</v>
      </c>
      <c r="O471" s="15"/>
      <c r="P471" s="6">
        <v>42514.8434375</v>
      </c>
      <c r="Q471" s="12"/>
      <c r="R471" s="17" t="s">
        <v>2729</v>
      </c>
      <c r="S471" s="12"/>
      <c r="T471" s="12"/>
      <c r="U471" s="10" t="str">
        <f>HYPERLINK("https://pbs.twimg.com/profile_images/937373246110031872/Ag-PfK82.jpg","View")</f>
        <v>View</v>
      </c>
    </row>
    <row r="472" spans="1:21" ht="30.6">
      <c r="A472" s="6">
        <v>43426.667118055557</v>
      </c>
      <c r="B472" s="7" t="str">
        <f>HYPERLINK("https://twitter.com/asivaespana_com","@asivaespana_com")</f>
        <v>@asivaespana_com</v>
      </c>
      <c r="C472" s="8" t="s">
        <v>2730</v>
      </c>
      <c r="D472" s="9" t="s">
        <v>2731</v>
      </c>
      <c r="E472" s="10" t="str">
        <f>HYPERLINK("https://twitter.com/asivaespana_com/status/1065621085654302720","1065621085654302720")</f>
        <v>1065621085654302720</v>
      </c>
      <c r="F472" s="11" t="s">
        <v>2734</v>
      </c>
      <c r="G472" s="12"/>
      <c r="H472" s="12"/>
      <c r="I472" s="13">
        <v>0</v>
      </c>
      <c r="J472" s="13">
        <v>0</v>
      </c>
      <c r="K472" s="14" t="str">
        <f>HYPERLINK("http://www.asivaespana.com","Así va España")</f>
        <v>Así va España</v>
      </c>
      <c r="L472" s="13">
        <v>4403</v>
      </c>
      <c r="M472" s="13">
        <v>31</v>
      </c>
      <c r="N472" s="13">
        <v>49</v>
      </c>
      <c r="O472" s="15"/>
      <c r="P472" s="6">
        <v>40772.838576388887</v>
      </c>
      <c r="Q472" s="16" t="s">
        <v>37</v>
      </c>
      <c r="R472" s="17" t="s">
        <v>2739</v>
      </c>
      <c r="S472" s="11" t="s">
        <v>2740</v>
      </c>
      <c r="T472" s="12"/>
      <c r="U472" s="10" t="str">
        <f>HYPERLINK("https://pbs.twimg.com/profile_images/606096519796768769/A1npKoi0.png","View")</f>
        <v>View</v>
      </c>
    </row>
    <row r="473" spans="1:21" ht="20.399999999999999">
      <c r="A473" s="6">
        <v>43426.666365740741</v>
      </c>
      <c r="B473" s="7" t="str">
        <f>HYPERLINK("https://twitter.com/quetemuevas1","@quetemuevas1")</f>
        <v>@quetemuevas1</v>
      </c>
      <c r="C473" s="8" t="s">
        <v>2744</v>
      </c>
      <c r="D473" s="9" t="s">
        <v>1503</v>
      </c>
      <c r="E473" s="10" t="str">
        <f>HYPERLINK("https://twitter.com/quetemuevas1/status/1065620813460705283","1065620813460705283")</f>
        <v>1065620813460705283</v>
      </c>
      <c r="F473" s="11" t="s">
        <v>1504</v>
      </c>
      <c r="G473" s="12"/>
      <c r="H473" s="12"/>
      <c r="I473" s="13">
        <v>2</v>
      </c>
      <c r="J473" s="13">
        <v>2</v>
      </c>
      <c r="K473" s="14" t="str">
        <f>HYPERLINK("http://twitter.com","Twitter Web Client")</f>
        <v>Twitter Web Client</v>
      </c>
      <c r="L473" s="13">
        <v>3544</v>
      </c>
      <c r="M473" s="13">
        <v>3472</v>
      </c>
      <c r="N473" s="13">
        <v>7</v>
      </c>
      <c r="O473" s="15"/>
      <c r="P473" s="6">
        <v>41483.724305555559</v>
      </c>
      <c r="Q473" s="16" t="s">
        <v>2749</v>
      </c>
      <c r="R473" s="17" t="s">
        <v>2750</v>
      </c>
      <c r="S473" s="12"/>
      <c r="T473" s="12"/>
      <c r="U473" s="10" t="str">
        <f>HYPERLINK("https://pbs.twimg.com/profile_images/591237326455578624/NOG8Myg8.jpg","View")</f>
        <v>View</v>
      </c>
    </row>
    <row r="474" spans="1:21" ht="51">
      <c r="A474" s="6">
        <v>43426.662141203706</v>
      </c>
      <c r="B474" s="7" t="str">
        <f>HYPERLINK("https://twitter.com/JuanraGciaRico","@JuanraGciaRico")</f>
        <v>@JuanraGciaRico</v>
      </c>
      <c r="C474" s="8" t="s">
        <v>1248</v>
      </c>
      <c r="D474" s="9" t="s">
        <v>1249</v>
      </c>
      <c r="E474" s="10" t="str">
        <f>HYPERLINK("https://twitter.com/JuanraGciaRico/status/1065619282489425920","1065619282489425920")</f>
        <v>1065619282489425920</v>
      </c>
      <c r="F474" s="12"/>
      <c r="G474" s="12"/>
      <c r="H474" s="12"/>
      <c r="I474" s="13">
        <v>0</v>
      </c>
      <c r="J474" s="13">
        <v>1</v>
      </c>
      <c r="K474" s="14" t="str">
        <f>HYPERLINK("http://twitter.com/download/android","Twitter for Android")</f>
        <v>Twitter for Android</v>
      </c>
      <c r="L474" s="13">
        <v>36</v>
      </c>
      <c r="M474" s="13">
        <v>117</v>
      </c>
      <c r="N474" s="13">
        <v>0</v>
      </c>
      <c r="O474" s="15"/>
      <c r="P474" s="6">
        <v>43158.629942129628</v>
      </c>
      <c r="Q474" s="16" t="s">
        <v>118</v>
      </c>
      <c r="R474" s="17" t="s">
        <v>1250</v>
      </c>
      <c r="S474" s="12"/>
      <c r="T474" s="12"/>
      <c r="U474" s="10" t="str">
        <f>HYPERLINK("https://pbs.twimg.com/profile_images/968731010459492352/xwEhMgbl.jpg","View")</f>
        <v>View</v>
      </c>
    </row>
    <row r="475" spans="1:21" ht="30.6">
      <c r="A475" s="6">
        <v>43426.661354166667</v>
      </c>
      <c r="B475" s="7" t="str">
        <f>HYPERLINK("https://twitter.com/joineurosec","@joineurosec")</f>
        <v>@joineurosec</v>
      </c>
      <c r="C475" s="8" t="s">
        <v>2759</v>
      </c>
      <c r="D475" s="9" t="s">
        <v>632</v>
      </c>
      <c r="E475" s="10" t="str">
        <f>HYPERLINK("https://twitter.com/joineurosec/status/1065618996517576705","1065618996517576705")</f>
        <v>1065618996517576705</v>
      </c>
      <c r="F475" s="11" t="s">
        <v>635</v>
      </c>
      <c r="G475" s="12"/>
      <c r="H475" s="12"/>
      <c r="I475" s="13">
        <v>0</v>
      </c>
      <c r="J475" s="13">
        <v>0</v>
      </c>
      <c r="K475" s="14" t="str">
        <f>HYPERLINK("http://twitter.com","Twitter Web Client")</f>
        <v>Twitter Web Client</v>
      </c>
      <c r="L475" s="13">
        <v>342</v>
      </c>
      <c r="M475" s="13">
        <v>776</v>
      </c>
      <c r="N475" s="13">
        <v>9</v>
      </c>
      <c r="O475" s="15"/>
      <c r="P475" s="6">
        <v>41695.342453703706</v>
      </c>
      <c r="Q475" s="16" t="s">
        <v>2764</v>
      </c>
      <c r="R475" s="17" t="s">
        <v>2765</v>
      </c>
      <c r="S475" s="12"/>
      <c r="T475" s="12"/>
      <c r="U475" s="10" t="str">
        <f>HYPERLINK("https://pbs.twimg.com/profile_images/1058365454853509121/Sti1PYX5.jpg","View")</f>
        <v>View</v>
      </c>
    </row>
    <row r="476" spans="1:21" ht="40.799999999999997">
      <c r="A476" s="6">
        <v>43426.661053240736</v>
      </c>
      <c r="B476" s="7" t="str">
        <f>HYPERLINK("https://twitter.com/TerraGallego","@TerraGallego")</f>
        <v>@TerraGallego</v>
      </c>
      <c r="C476" s="8" t="s">
        <v>1251</v>
      </c>
      <c r="D476" s="9" t="s">
        <v>1252</v>
      </c>
      <c r="E476" s="10" t="str">
        <f>HYPERLINK("https://twitter.com/TerraGallego/status/1065618886249332741","1065618886249332741")</f>
        <v>1065618886249332741</v>
      </c>
      <c r="F476" s="12"/>
      <c r="G476" s="12"/>
      <c r="H476" s="12"/>
      <c r="I476" s="13">
        <v>0</v>
      </c>
      <c r="J476" s="13">
        <v>1</v>
      </c>
      <c r="K476" s="14" t="str">
        <f>HYPERLINK("http://twitter.com/download/iphone","Twitter for iPhone")</f>
        <v>Twitter for iPhone</v>
      </c>
      <c r="L476" s="13">
        <v>199</v>
      </c>
      <c r="M476" s="13">
        <v>148</v>
      </c>
      <c r="N476" s="13">
        <v>3</v>
      </c>
      <c r="O476" s="15"/>
      <c r="P476" s="6">
        <v>41341.836273148147</v>
      </c>
      <c r="Q476" s="12"/>
      <c r="R476" s="17" t="s">
        <v>1258</v>
      </c>
      <c r="S476" s="12"/>
      <c r="T476" s="12"/>
      <c r="U476" s="10" t="str">
        <f>HYPERLINK("https://pbs.twimg.com/profile_images/378800000762875468/056ad116cb72855e4da29aa83405afe6.jpeg","View")</f>
        <v>View</v>
      </c>
    </row>
    <row r="477" spans="1:21" ht="71.400000000000006">
      <c r="A477" s="6">
        <v>43426.658553240741</v>
      </c>
      <c r="B477" s="7" t="str">
        <f>HYPERLINK("https://twitter.com/thecontexto","@thecontexto")</f>
        <v>@thecontexto</v>
      </c>
      <c r="C477" s="8" t="s">
        <v>1259</v>
      </c>
      <c r="D477" s="9" t="s">
        <v>1260</v>
      </c>
      <c r="E477" s="10" t="str">
        <f>HYPERLINK("https://twitter.com/thecontexto/status/1065617981831634945","1065617981831634945")</f>
        <v>1065617981831634945</v>
      </c>
      <c r="F477" s="16" t="s">
        <v>1035</v>
      </c>
      <c r="G477" s="12"/>
      <c r="H477" s="12"/>
      <c r="I477" s="13">
        <v>0</v>
      </c>
      <c r="J477" s="13">
        <v>0</v>
      </c>
      <c r="K477" s="14" t="str">
        <f>HYPERLINK("http://twitter.com/download/android","Twitter for Android")</f>
        <v>Twitter for Android</v>
      </c>
      <c r="L477" s="13">
        <v>322</v>
      </c>
      <c r="M477" s="13">
        <v>1379</v>
      </c>
      <c r="N477" s="13">
        <v>23</v>
      </c>
      <c r="O477" s="15"/>
      <c r="P477" s="6">
        <v>41768.573101851856</v>
      </c>
      <c r="Q477" s="12"/>
      <c r="R477" s="19"/>
      <c r="S477" s="12"/>
      <c r="T477" s="12"/>
      <c r="U477" s="10" t="str">
        <f>HYPERLINK("https://pbs.twimg.com/profile_images/1007820140610801665/qDR_2E1J.jpg","View")</f>
        <v>View</v>
      </c>
    </row>
    <row r="478" spans="1:21" ht="20.399999999999999">
      <c r="A478" s="6">
        <v>43426.658067129625</v>
      </c>
      <c r="B478" s="7" t="str">
        <f>HYPERLINK("https://twitter.com/Xiqui9","@Xiqui9")</f>
        <v>@Xiqui9</v>
      </c>
      <c r="C478" s="8" t="s">
        <v>2772</v>
      </c>
      <c r="D478" s="9" t="s">
        <v>2773</v>
      </c>
      <c r="E478" s="10" t="str">
        <f>HYPERLINK("https://twitter.com/Xiqui9/status/1065617803607228417","1065617803607228417")</f>
        <v>1065617803607228417</v>
      </c>
      <c r="F478" s="12"/>
      <c r="G478" s="11" t="s">
        <v>2774</v>
      </c>
      <c r="H478" s="12"/>
      <c r="I478" s="13">
        <v>6</v>
      </c>
      <c r="J478" s="13">
        <v>12</v>
      </c>
      <c r="K478" s="14" t="str">
        <f>HYPERLINK("https://mobile.twitter.com","Twitter Lite")</f>
        <v>Twitter Lite</v>
      </c>
      <c r="L478" s="13">
        <v>51</v>
      </c>
      <c r="M478" s="13">
        <v>146</v>
      </c>
      <c r="N478" s="13">
        <v>0</v>
      </c>
      <c r="O478" s="15"/>
      <c r="P478" s="6">
        <v>42902.723252314812</v>
      </c>
      <c r="Q478" s="16" t="s">
        <v>214</v>
      </c>
      <c r="R478" s="17" t="s">
        <v>2775</v>
      </c>
      <c r="S478" s="12"/>
      <c r="T478" s="12"/>
      <c r="U478" s="10" t="str">
        <f>HYPERLINK("https://pbs.twimg.com/profile_images/1053273972769517568/2v2DjBUC.jpg","View")</f>
        <v>View</v>
      </c>
    </row>
    <row r="479" spans="1:21" ht="30.6">
      <c r="A479" s="6">
        <v>43426.657384259262</v>
      </c>
      <c r="B479" s="7" t="str">
        <f>HYPERLINK("https://twitter.com/Mencita64","@Mencita64")</f>
        <v>@Mencita64</v>
      </c>
      <c r="C479" s="8" t="s">
        <v>2776</v>
      </c>
      <c r="D479" s="9" t="s">
        <v>1503</v>
      </c>
      <c r="E479" s="10" t="str">
        <f>HYPERLINK("https://twitter.com/Mencita64/status/1065617557984550912","1065617557984550912")</f>
        <v>1065617557984550912</v>
      </c>
      <c r="F479" s="11" t="s">
        <v>1504</v>
      </c>
      <c r="G479" s="12"/>
      <c r="H479" s="12"/>
      <c r="I479" s="13">
        <v>0</v>
      </c>
      <c r="J479" s="13">
        <v>0</v>
      </c>
      <c r="K479" s="14" t="str">
        <f>HYPERLINK("http://twitter.com","Twitter Web Client")</f>
        <v>Twitter Web Client</v>
      </c>
      <c r="L479" s="13">
        <v>152</v>
      </c>
      <c r="M479" s="13">
        <v>288</v>
      </c>
      <c r="N479" s="13">
        <v>0</v>
      </c>
      <c r="O479" s="15"/>
      <c r="P479" s="6">
        <v>40587.647777777776</v>
      </c>
      <c r="Q479" s="16" t="s">
        <v>37</v>
      </c>
      <c r="R479" s="17" t="s">
        <v>2782</v>
      </c>
      <c r="S479" s="12"/>
      <c r="T479" s="12"/>
      <c r="U479" s="10" t="str">
        <f>HYPERLINK("https://pbs.twimg.com/profile_images/1059551058354204672/z9Z7X4Xn.jpg","View")</f>
        <v>View</v>
      </c>
    </row>
    <row r="480" spans="1:21" ht="20.399999999999999">
      <c r="A480" s="6">
        <v>43426.656909722224</v>
      </c>
      <c r="B480" s="7" t="str">
        <f>HYPERLINK("https://twitter.com/joseantoniogo43","@joseantoniogo43")</f>
        <v>@joseantoniogo43</v>
      </c>
      <c r="C480" s="8" t="s">
        <v>2784</v>
      </c>
      <c r="D480" s="9" t="s">
        <v>632</v>
      </c>
      <c r="E480" s="10" t="str">
        <f>HYPERLINK("https://twitter.com/joseantoniogo43/status/1065617386966065152","1065617386966065152")</f>
        <v>1065617386966065152</v>
      </c>
      <c r="F480" s="11" t="s">
        <v>635</v>
      </c>
      <c r="G480" s="12"/>
      <c r="H480" s="12"/>
      <c r="I480" s="13">
        <v>0</v>
      </c>
      <c r="J480" s="13">
        <v>0</v>
      </c>
      <c r="K480" s="14" t="str">
        <f>HYPERLINK("http://twitter.com/download/android","Twitter for Android")</f>
        <v>Twitter for Android</v>
      </c>
      <c r="L480" s="13">
        <v>4100</v>
      </c>
      <c r="M480" s="13">
        <v>4242</v>
      </c>
      <c r="N480" s="13">
        <v>39</v>
      </c>
      <c r="O480" s="15"/>
      <c r="P480" s="6">
        <v>40845.495509259257</v>
      </c>
      <c r="Q480" s="12"/>
      <c r="R480" s="19"/>
      <c r="S480" s="12"/>
      <c r="T480" s="12"/>
      <c r="U480" s="10" t="str">
        <f>HYPERLINK("https://pbs.twimg.com/profile_images/3576388686/a66d7c55b1a8af804079aea3e66d3f4f.jpeg","View")</f>
        <v>View</v>
      </c>
    </row>
    <row r="481" spans="1:21" ht="81.599999999999994">
      <c r="A481" s="6">
        <v>43426.656840277778</v>
      </c>
      <c r="B481" s="7" t="str">
        <f>HYPERLINK("https://twitter.com/indignado9999","@indignado9999")</f>
        <v>@indignado9999</v>
      </c>
      <c r="C481" s="8" t="s">
        <v>1261</v>
      </c>
      <c r="D481" s="9" t="s">
        <v>1262</v>
      </c>
      <c r="E481" s="10" t="str">
        <f>HYPERLINK("https://twitter.com/indignado9999/status/1065617358990049280","1065617358990049280")</f>
        <v>1065617358990049280</v>
      </c>
      <c r="F481" s="16" t="s">
        <v>1265</v>
      </c>
      <c r="G481" s="12"/>
      <c r="H481" s="12"/>
      <c r="I481" s="13">
        <v>1</v>
      </c>
      <c r="J481" s="13">
        <v>0</v>
      </c>
      <c r="K481" s="14" t="str">
        <f>HYPERLINK("http://twitter.com","Twitter Web Client")</f>
        <v>Twitter Web Client</v>
      </c>
      <c r="L481" s="13">
        <v>895</v>
      </c>
      <c r="M481" s="13">
        <v>3412</v>
      </c>
      <c r="N481" s="13">
        <v>0</v>
      </c>
      <c r="O481" s="15"/>
      <c r="P481" s="6">
        <v>42199.8440162037</v>
      </c>
      <c r="Q481" s="12"/>
      <c r="R481" s="17" t="s">
        <v>1267</v>
      </c>
      <c r="S481" s="12"/>
      <c r="T481" s="12"/>
      <c r="U481" s="10" t="str">
        <f>HYPERLINK("https://pbs.twimg.com/profile_images/1050871410833444864/J_uUuDxi.jpg","View")</f>
        <v>View</v>
      </c>
    </row>
    <row r="482" spans="1:21" ht="30.6">
      <c r="A482" s="6">
        <v>43426.65457175926</v>
      </c>
      <c r="B482" s="7" t="str">
        <f>HYPERLINK("https://twitter.com/XaviRip1899","@XaviRip1899")</f>
        <v>@XaviRip1899</v>
      </c>
      <c r="C482" s="8" t="s">
        <v>2793</v>
      </c>
      <c r="D482" s="9" t="s">
        <v>2794</v>
      </c>
      <c r="E482" s="10" t="str">
        <f>HYPERLINK("https://twitter.com/XaviRip1899/status/1065616536168214530","1065616536168214530")</f>
        <v>1065616536168214530</v>
      </c>
      <c r="F482" s="12"/>
      <c r="G482" s="12"/>
      <c r="H482" s="12"/>
      <c r="I482" s="13">
        <v>0</v>
      </c>
      <c r="J482" s="13">
        <v>2</v>
      </c>
      <c r="K482" s="14" t="str">
        <f>HYPERLINK("http://www.facebook.com/twitter","Facebook")</f>
        <v>Facebook</v>
      </c>
      <c r="L482" s="13">
        <v>334</v>
      </c>
      <c r="M482" s="13">
        <v>1015</v>
      </c>
      <c r="N482" s="13">
        <v>0</v>
      </c>
      <c r="O482" s="15"/>
      <c r="P482" s="6">
        <v>40662.53188657407</v>
      </c>
      <c r="Q482" s="16" t="s">
        <v>2800</v>
      </c>
      <c r="R482" s="17" t="s">
        <v>2802</v>
      </c>
      <c r="S482" s="12"/>
      <c r="T482" s="12"/>
      <c r="U482" s="10" t="str">
        <f>HYPERLINK("https://pbs.twimg.com/profile_images/583088289403543552/oxWQ2LN_.jpg","View")</f>
        <v>View</v>
      </c>
    </row>
    <row r="483" spans="1:21" ht="51">
      <c r="A483" s="6">
        <v>43426.653680555552</v>
      </c>
      <c r="B483" s="7" t="str">
        <f>HYPERLINK("https://twitter.com/PSOEValencia","@PSOEValencia")</f>
        <v>@PSOEValencia</v>
      </c>
      <c r="C483" s="8" t="s">
        <v>2809</v>
      </c>
      <c r="D483" s="9" t="s">
        <v>2810</v>
      </c>
      <c r="E483" s="10" t="str">
        <f>HYPERLINK("https://twitter.com/PSOEValencia/status/1065616214448398336","1065616214448398336")</f>
        <v>1065616214448398336</v>
      </c>
      <c r="F483" s="11" t="s">
        <v>1856</v>
      </c>
      <c r="G483" s="12"/>
      <c r="H483" s="12"/>
      <c r="I483" s="13">
        <v>5</v>
      </c>
      <c r="J483" s="13">
        <v>6</v>
      </c>
      <c r="K483" s="14" t="str">
        <f>HYPERLINK("http://twitter.com/download/iphone","Twitter for iPhone")</f>
        <v>Twitter for iPhone</v>
      </c>
      <c r="L483" s="13">
        <v>7599</v>
      </c>
      <c r="M483" s="13">
        <v>2403</v>
      </c>
      <c r="N483" s="13">
        <v>118</v>
      </c>
      <c r="O483" s="15"/>
      <c r="P483" s="6">
        <v>40673.914652777778</v>
      </c>
      <c r="Q483" s="16" t="s">
        <v>2813</v>
      </c>
      <c r="R483" s="17" t="s">
        <v>2814</v>
      </c>
      <c r="S483" s="11" t="s">
        <v>2815</v>
      </c>
      <c r="T483" s="12"/>
      <c r="U483" s="10" t="str">
        <f>HYPERLINK("https://pbs.twimg.com/profile_images/1008379766221737984/gBneE3Z2.jpg","View")</f>
        <v>View</v>
      </c>
    </row>
    <row r="484" spans="1:21" ht="30.6">
      <c r="A484" s="6">
        <v>43426.652002314819</v>
      </c>
      <c r="B484" s="7" t="str">
        <f>HYPERLINK("https://twitter.com/Pedro_Castro","@Pedro_Castro")</f>
        <v>@Pedro_Castro</v>
      </c>
      <c r="C484" s="8" t="s">
        <v>2818</v>
      </c>
      <c r="D484" s="9" t="s">
        <v>1503</v>
      </c>
      <c r="E484" s="10" t="str">
        <f>HYPERLINK("https://twitter.com/Pedro_Castro/status/1065615607876517888","1065615607876517888")</f>
        <v>1065615607876517888</v>
      </c>
      <c r="F484" s="11" t="s">
        <v>1504</v>
      </c>
      <c r="G484" s="12"/>
      <c r="H484" s="12"/>
      <c r="I484" s="13">
        <v>0</v>
      </c>
      <c r="J484" s="13">
        <v>2</v>
      </c>
      <c r="K484" s="14" t="str">
        <f>HYPERLINK("http://twitter.com","Twitter Web Client")</f>
        <v>Twitter Web Client</v>
      </c>
      <c r="L484" s="13">
        <v>12366</v>
      </c>
      <c r="M484" s="13">
        <v>5933</v>
      </c>
      <c r="N484" s="13">
        <v>411</v>
      </c>
      <c r="O484" s="15"/>
      <c r="P484" s="6">
        <v>39811.502395833333</v>
      </c>
      <c r="Q484" s="16" t="s">
        <v>2822</v>
      </c>
      <c r="R484" s="17" t="s">
        <v>2823</v>
      </c>
      <c r="S484" s="11" t="s">
        <v>2824</v>
      </c>
      <c r="T484" s="12"/>
      <c r="U484" s="10" t="str">
        <f>HYPERLINK("https://pbs.twimg.com/profile_images/1423190616/203177_1104736911_528524_n2.jpg","View")</f>
        <v>View</v>
      </c>
    </row>
    <row r="485" spans="1:21" ht="20.399999999999999">
      <c r="A485" s="6">
        <v>43426.650983796295</v>
      </c>
      <c r="B485" s="7" t="str">
        <f>HYPERLINK("https://twitter.com/negativo_stats","@negativo_stats")</f>
        <v>@negativo_stats</v>
      </c>
      <c r="C485" s="8" t="s">
        <v>114</v>
      </c>
      <c r="D485" s="9" t="s">
        <v>115</v>
      </c>
      <c r="E485" s="10" t="str">
        <f>HYPERLINK("https://twitter.com/negativo_stats/status/1065615237334876165","1065615237334876165")</f>
        <v>1065615237334876165</v>
      </c>
      <c r="F485" s="12"/>
      <c r="G485" s="11" t="s">
        <v>1271</v>
      </c>
      <c r="H485" s="12"/>
      <c r="I485" s="13">
        <v>0</v>
      </c>
      <c r="J485" s="13">
        <v>0</v>
      </c>
      <c r="K485" s="14" t="str">
        <f>HYPERLINK("http://kosmonautica.es","Política Negativa")</f>
        <v>Política Negativa</v>
      </c>
      <c r="L485" s="13">
        <v>256</v>
      </c>
      <c r="M485" s="13">
        <v>694</v>
      </c>
      <c r="N485" s="13">
        <v>2</v>
      </c>
      <c r="O485" s="15"/>
      <c r="P485" s="6">
        <v>42171.770601851851</v>
      </c>
      <c r="Q485" s="16" t="s">
        <v>118</v>
      </c>
      <c r="R485" s="17" t="s">
        <v>119</v>
      </c>
      <c r="S485" s="12"/>
      <c r="T485" s="12"/>
      <c r="U485" s="10" t="str">
        <f>HYPERLINK("https://pbs.twimg.com/profile_images/628553625984438272/e-VHyhP1.png","View")</f>
        <v>View</v>
      </c>
    </row>
    <row r="486" spans="1:21" ht="20.399999999999999">
      <c r="A486" s="6">
        <v>43426.649212962962</v>
      </c>
      <c r="B486" s="7" t="str">
        <f>HYPERLINK("https://twitter.com/tirso_perez","@tirso_perez")</f>
        <v>@tirso_perez</v>
      </c>
      <c r="C486" s="8" t="s">
        <v>2829</v>
      </c>
      <c r="D486" s="9" t="s">
        <v>2830</v>
      </c>
      <c r="E486" s="10" t="str">
        <f>HYPERLINK("https://twitter.com/tirso_perez/status/1065614595266621440","1065614595266621440")</f>
        <v>1065614595266621440</v>
      </c>
      <c r="F486" s="11" t="s">
        <v>1388</v>
      </c>
      <c r="G486" s="12"/>
      <c r="H486" s="12"/>
      <c r="I486" s="13">
        <v>0</v>
      </c>
      <c r="J486" s="13">
        <v>0</v>
      </c>
      <c r="K486" s="14" t="str">
        <f>HYPERLINK("http://twitter.com","Twitter Web Client")</f>
        <v>Twitter Web Client</v>
      </c>
      <c r="L486" s="13">
        <v>200</v>
      </c>
      <c r="M486" s="13">
        <v>889</v>
      </c>
      <c r="N486" s="13">
        <v>5</v>
      </c>
      <c r="O486" s="15"/>
      <c r="P486" s="6">
        <v>40936.635057870371</v>
      </c>
      <c r="Q486" s="12"/>
      <c r="R486" s="19"/>
      <c r="S486" s="12"/>
      <c r="T486" s="12"/>
      <c r="U486" s="10" t="str">
        <f>HYPERLINK("https://pbs.twimg.com/profile_images/824975902744403968/h3uRVXIG.jpg","View")</f>
        <v>View</v>
      </c>
    </row>
    <row r="487" spans="1:21" ht="20.399999999999999">
      <c r="A487" s="6">
        <v>43426.648275462961</v>
      </c>
      <c r="B487" s="7" t="str">
        <f>HYPERLINK("https://twitter.com/pazosxxx","@pazosxxx")</f>
        <v>@pazosxxx</v>
      </c>
      <c r="C487" s="8" t="s">
        <v>1272</v>
      </c>
      <c r="D487" s="9" t="s">
        <v>1273</v>
      </c>
      <c r="E487" s="10" t="str">
        <f>HYPERLINK("https://twitter.com/pazosxxx/status/1065614256635346944","1065614256635346944")</f>
        <v>1065614256635346944</v>
      </c>
      <c r="F487" s="11" t="s">
        <v>1276</v>
      </c>
      <c r="G487" s="12"/>
      <c r="H487" s="12"/>
      <c r="I487" s="13">
        <v>0</v>
      </c>
      <c r="J487" s="13">
        <v>0</v>
      </c>
      <c r="K487" s="14" t="str">
        <f t="shared" ref="K487:K489" si="95">HYPERLINK("http://twitter.com/download/android","Twitter for Android")</f>
        <v>Twitter for Android</v>
      </c>
      <c r="L487" s="13">
        <v>73</v>
      </c>
      <c r="M487" s="13">
        <v>266</v>
      </c>
      <c r="N487" s="13">
        <v>4</v>
      </c>
      <c r="O487" s="15"/>
      <c r="P487" s="6">
        <v>41332.463854166665</v>
      </c>
      <c r="Q487" s="12"/>
      <c r="R487" s="19"/>
      <c r="S487" s="12"/>
      <c r="T487" s="12"/>
      <c r="U487" s="10" t="str">
        <f>HYPERLINK("https://pbs.twimg.com/profile_images/423146798350630912/s3ojM4CT.jpeg","View")</f>
        <v>View</v>
      </c>
    </row>
    <row r="488" spans="1:21" ht="40.799999999999997">
      <c r="A488" s="6">
        <v>43426.647858796292</v>
      </c>
      <c r="B488" s="7" t="str">
        <f>HYPERLINK("https://twitter.com/culebra1978","@culebra1978")</f>
        <v>@culebra1978</v>
      </c>
      <c r="C488" s="8" t="s">
        <v>478</v>
      </c>
      <c r="D488" s="9" t="s">
        <v>2841</v>
      </c>
      <c r="E488" s="10" t="str">
        <f>HYPERLINK("https://twitter.com/culebra1978/status/1065614103950053376","1065614103950053376")</f>
        <v>1065614103950053376</v>
      </c>
      <c r="F488" s="12"/>
      <c r="G488" s="12"/>
      <c r="H488" s="12"/>
      <c r="I488" s="13">
        <v>541</v>
      </c>
      <c r="J488" s="13">
        <v>1210</v>
      </c>
      <c r="K488" s="14" t="str">
        <f t="shared" si="95"/>
        <v>Twitter for Android</v>
      </c>
      <c r="L488" s="13">
        <v>6577</v>
      </c>
      <c r="M488" s="13">
        <v>5318</v>
      </c>
      <c r="N488" s="13">
        <v>9</v>
      </c>
      <c r="O488" s="15"/>
      <c r="P488" s="6">
        <v>41008.866574074076</v>
      </c>
      <c r="Q488" s="16" t="s">
        <v>480</v>
      </c>
      <c r="R488" s="17" t="s">
        <v>481</v>
      </c>
      <c r="S488" s="12"/>
      <c r="T488" s="12"/>
      <c r="U488" s="10" t="str">
        <f>HYPERLINK("https://pbs.twimg.com/profile_images/1042005741668900866/Z6LFT-O8.jpg","View")</f>
        <v>View</v>
      </c>
    </row>
    <row r="489" spans="1:21" ht="51">
      <c r="A489" s="6">
        <v>43426.647615740745</v>
      </c>
      <c r="B489" s="7" t="str">
        <f>HYPERLINK("https://twitter.com/Figarodixit","@Figarodixit")</f>
        <v>@Figarodixit</v>
      </c>
      <c r="C489" s="8" t="s">
        <v>186</v>
      </c>
      <c r="D489" s="9" t="s">
        <v>1277</v>
      </c>
      <c r="E489" s="10" t="str">
        <f>HYPERLINK("https://twitter.com/Figarodixit/status/1065614015370547200","1065614015370547200")</f>
        <v>1065614015370547200</v>
      </c>
      <c r="F489" s="11" t="s">
        <v>1278</v>
      </c>
      <c r="G489" s="12"/>
      <c r="H489" s="12"/>
      <c r="I489" s="13">
        <v>1</v>
      </c>
      <c r="J489" s="13">
        <v>1</v>
      </c>
      <c r="K489" s="14" t="str">
        <f t="shared" si="95"/>
        <v>Twitter for Android</v>
      </c>
      <c r="L489" s="13">
        <v>442</v>
      </c>
      <c r="M489" s="13">
        <v>831</v>
      </c>
      <c r="N489" s="13">
        <v>1</v>
      </c>
      <c r="O489" s="15"/>
      <c r="P489" s="6">
        <v>41299.983310185184</v>
      </c>
      <c r="Q489" s="12"/>
      <c r="R489" s="19"/>
      <c r="S489" s="12"/>
      <c r="T489" s="12"/>
      <c r="U489" s="10" t="str">
        <f>HYPERLINK("https://pbs.twimg.com/profile_images/3171067429/47937b36ca98570eb1f9f6e5ed055255.jpeg","View")</f>
        <v>View</v>
      </c>
    </row>
    <row r="490" spans="1:21" ht="13.2">
      <c r="A490" s="6">
        <v>43426.647199074076</v>
      </c>
      <c r="B490" s="7" t="str">
        <f>HYPERLINK("https://twitter.com/RogerdeFlor4","@RogerdeFlor4")</f>
        <v>@RogerdeFlor4</v>
      </c>
      <c r="C490" s="8" t="s">
        <v>1284</v>
      </c>
      <c r="D490" s="9" t="s">
        <v>1285</v>
      </c>
      <c r="E490" s="10" t="str">
        <f>HYPERLINK("https://twitter.com/RogerdeFlor4/status/1065613865457725440","1065613865457725440")</f>
        <v>1065613865457725440</v>
      </c>
      <c r="F490" s="12"/>
      <c r="G490" s="12"/>
      <c r="H490" s="12"/>
      <c r="I490" s="13">
        <v>0</v>
      </c>
      <c r="J490" s="13">
        <v>1</v>
      </c>
      <c r="K490" s="14" t="str">
        <f>HYPERLINK("https://mobile.twitter.com","Twitter Lite")</f>
        <v>Twitter Lite</v>
      </c>
      <c r="L490" s="13">
        <v>68</v>
      </c>
      <c r="M490" s="13">
        <v>284</v>
      </c>
      <c r="N490" s="13">
        <v>0</v>
      </c>
      <c r="O490" s="15"/>
      <c r="P490" s="6">
        <v>42983.397719907407</v>
      </c>
      <c r="Q490" s="12"/>
      <c r="R490" s="17" t="s">
        <v>1288</v>
      </c>
      <c r="S490" s="12"/>
      <c r="T490" s="12"/>
      <c r="U490" s="10" t="str">
        <f>HYPERLINK("https://pbs.twimg.com/profile_images/904971944759627776/gO5l_3CS.jpg","View")</f>
        <v>View</v>
      </c>
    </row>
    <row r="491" spans="1:21" ht="30.6">
      <c r="A491" s="6">
        <v>43426.646296296298</v>
      </c>
      <c r="B491" s="7" t="str">
        <f>HYPERLINK("https://twitter.com/carlosj90vk","@carlosj90vk")</f>
        <v>@carlosj90vk</v>
      </c>
      <c r="C491" s="8" t="s">
        <v>1858</v>
      </c>
      <c r="D491" s="9" t="s">
        <v>2849</v>
      </c>
      <c r="E491" s="10" t="str">
        <f>HYPERLINK("https://twitter.com/carlosj90vk/status/1065613540764106752","1065613540764106752")</f>
        <v>1065613540764106752</v>
      </c>
      <c r="F491" s="12"/>
      <c r="G491" s="12"/>
      <c r="H491" s="12"/>
      <c r="I491" s="13">
        <v>0</v>
      </c>
      <c r="J491" s="13">
        <v>0</v>
      </c>
      <c r="K491" s="14" t="str">
        <f t="shared" ref="K491:K494" si="96">HYPERLINK("http://twitter.com/download/android","Twitter for Android")</f>
        <v>Twitter for Android</v>
      </c>
      <c r="L491" s="13">
        <v>617</v>
      </c>
      <c r="M491" s="13">
        <v>1543</v>
      </c>
      <c r="N491" s="13">
        <v>11</v>
      </c>
      <c r="O491" s="15"/>
      <c r="P491" s="6">
        <v>41341.778796296298</v>
      </c>
      <c r="Q491" s="12"/>
      <c r="R491" s="17" t="s">
        <v>1861</v>
      </c>
      <c r="S491" s="12"/>
      <c r="T491" s="12"/>
      <c r="U491" s="10" t="str">
        <f>HYPERLINK("https://pbs.twimg.com/profile_images/1031673304959082497/UMnr31H0.jpg","View")</f>
        <v>View</v>
      </c>
    </row>
    <row r="492" spans="1:21" ht="20.399999999999999">
      <c r="A492" s="6">
        <v>43426.644907407404</v>
      </c>
      <c r="B492" s="7" t="str">
        <f>HYPERLINK("https://twitter.com/caencomonueces","@caencomonueces")</f>
        <v>@caencomonueces</v>
      </c>
      <c r="C492" s="8" t="s">
        <v>2857</v>
      </c>
      <c r="D492" s="9" t="s">
        <v>632</v>
      </c>
      <c r="E492" s="10" t="str">
        <f>HYPERLINK("https://twitter.com/caencomonueces/status/1065613035669254144","1065613035669254144")</f>
        <v>1065613035669254144</v>
      </c>
      <c r="F492" s="11" t="s">
        <v>635</v>
      </c>
      <c r="G492" s="12"/>
      <c r="H492" s="12"/>
      <c r="I492" s="13">
        <v>0</v>
      </c>
      <c r="J492" s="13">
        <v>0</v>
      </c>
      <c r="K492" s="14" t="str">
        <f t="shared" si="96"/>
        <v>Twitter for Android</v>
      </c>
      <c r="L492" s="13">
        <v>629</v>
      </c>
      <c r="M492" s="13">
        <v>1153</v>
      </c>
      <c r="N492" s="13">
        <v>3</v>
      </c>
      <c r="O492" s="15"/>
      <c r="P492" s="6">
        <v>41242.801539351851</v>
      </c>
      <c r="Q492" s="16" t="s">
        <v>1923</v>
      </c>
      <c r="R492" s="17" t="s">
        <v>2859</v>
      </c>
      <c r="S492" s="12"/>
      <c r="T492" s="12"/>
      <c r="U492" s="10" t="str">
        <f>HYPERLINK("https://pbs.twimg.com/profile_images/802542076420378628/S_52YFJA.jpg","View")</f>
        <v>View</v>
      </c>
    </row>
    <row r="493" spans="1:21" ht="30.6">
      <c r="A493" s="6">
        <v>43426.64371527778</v>
      </c>
      <c r="B493" s="7" t="str">
        <f>HYPERLINK("https://twitter.com/ferrerodu","@ferrerodu")</f>
        <v>@ferrerodu</v>
      </c>
      <c r="C493" s="8" t="s">
        <v>2724</v>
      </c>
      <c r="D493" s="9" t="s">
        <v>632</v>
      </c>
      <c r="E493" s="10" t="str">
        <f>HYPERLINK("https://twitter.com/ferrerodu/status/1065612605715374080","1065612605715374080")</f>
        <v>1065612605715374080</v>
      </c>
      <c r="F493" s="11" t="s">
        <v>635</v>
      </c>
      <c r="G493" s="12"/>
      <c r="H493" s="12"/>
      <c r="I493" s="13">
        <v>19</v>
      </c>
      <c r="J493" s="13">
        <v>21</v>
      </c>
      <c r="K493" s="14" t="str">
        <f t="shared" si="96"/>
        <v>Twitter for Android</v>
      </c>
      <c r="L493" s="13">
        <v>3221</v>
      </c>
      <c r="M493" s="13">
        <v>4997</v>
      </c>
      <c r="N493" s="13">
        <v>48</v>
      </c>
      <c r="O493" s="15"/>
      <c r="P493" s="6">
        <v>42514.8434375</v>
      </c>
      <c r="Q493" s="12"/>
      <c r="R493" s="17" t="s">
        <v>2729</v>
      </c>
      <c r="S493" s="12"/>
      <c r="T493" s="12"/>
      <c r="U493" s="10" t="str">
        <f>HYPERLINK("https://pbs.twimg.com/profile_images/937373246110031872/Ag-PfK82.jpg","View")</f>
        <v>View</v>
      </c>
    </row>
    <row r="494" spans="1:21" ht="51">
      <c r="A494" s="6">
        <v>43426.642789351856</v>
      </c>
      <c r="B494" s="7" t="str">
        <f>HYPERLINK("https://twitter.com/BurgoVega","@BurgoVega")</f>
        <v>@BurgoVega</v>
      </c>
      <c r="C494" s="8" t="s">
        <v>2864</v>
      </c>
      <c r="D494" s="9" t="s">
        <v>2865</v>
      </c>
      <c r="E494" s="10" t="str">
        <f>HYPERLINK("https://twitter.com/BurgoVega/status/1065612270175162368","1065612270175162368")</f>
        <v>1065612270175162368</v>
      </c>
      <c r="F494" s="11" t="s">
        <v>635</v>
      </c>
      <c r="G494" s="12"/>
      <c r="H494" s="12"/>
      <c r="I494" s="13">
        <v>0</v>
      </c>
      <c r="J494" s="13">
        <v>0</v>
      </c>
      <c r="K494" s="14" t="str">
        <f t="shared" si="96"/>
        <v>Twitter for Android</v>
      </c>
      <c r="L494" s="13">
        <v>1151</v>
      </c>
      <c r="M494" s="13">
        <v>564</v>
      </c>
      <c r="N494" s="13">
        <v>22</v>
      </c>
      <c r="O494" s="15"/>
      <c r="P494" s="6">
        <v>41898.90115740741</v>
      </c>
      <c r="Q494" s="16" t="s">
        <v>2868</v>
      </c>
      <c r="R494" s="17" t="s">
        <v>2870</v>
      </c>
      <c r="S494" s="12"/>
      <c r="T494" s="12"/>
      <c r="U494" s="10" t="str">
        <f>HYPERLINK("https://pbs.twimg.com/profile_images/1060320673548124161/TYDHDWvB.jpg","View")</f>
        <v>View</v>
      </c>
    </row>
    <row r="495" spans="1:21" ht="30.6">
      <c r="A495" s="6">
        <v>43426.640752314815</v>
      </c>
      <c r="B495" s="7" t="str">
        <f t="shared" ref="B495:B496" si="97">HYPERLINK("https://twitter.com/David__EF","@David__EF")</f>
        <v>@David__EF</v>
      </c>
      <c r="C495" s="8" t="s">
        <v>2871</v>
      </c>
      <c r="D495" s="9" t="s">
        <v>2872</v>
      </c>
      <c r="E495" s="10" t="str">
        <f>HYPERLINK("https://twitter.com/David__EF/status/1065611530547462146","1065611530547462146")</f>
        <v>1065611530547462146</v>
      </c>
      <c r="F495" s="11" t="s">
        <v>2873</v>
      </c>
      <c r="G495" s="12"/>
      <c r="H495" s="12"/>
      <c r="I495" s="13">
        <v>0</v>
      </c>
      <c r="J495" s="13">
        <v>0</v>
      </c>
      <c r="K495" s="14" t="str">
        <f t="shared" ref="K495:K497" si="98">HYPERLINK("http://twitter.com","Twitter Web Client")</f>
        <v>Twitter Web Client</v>
      </c>
      <c r="L495" s="13">
        <v>2711</v>
      </c>
      <c r="M495" s="13">
        <v>1129</v>
      </c>
      <c r="N495" s="13">
        <v>14</v>
      </c>
      <c r="O495" s="15"/>
      <c r="P495" s="6">
        <v>41157.028761574074</v>
      </c>
      <c r="Q495" s="16" t="s">
        <v>118</v>
      </c>
      <c r="R495" s="17" t="s">
        <v>2876</v>
      </c>
      <c r="S495" s="12"/>
      <c r="T495" s="12"/>
      <c r="U495" s="10" t="str">
        <f t="shared" ref="U495:U496" si="99">HYPERLINK("https://pbs.twimg.com/profile_images/1039828083417800705/VLolvyLv.jpg","View")</f>
        <v>View</v>
      </c>
    </row>
    <row r="496" spans="1:21" ht="30.6">
      <c r="A496" s="6">
        <v>43426.640682870369</v>
      </c>
      <c r="B496" s="7" t="str">
        <f t="shared" si="97"/>
        <v>@David__EF</v>
      </c>
      <c r="C496" s="8" t="s">
        <v>2871</v>
      </c>
      <c r="D496" s="9" t="s">
        <v>632</v>
      </c>
      <c r="E496" s="10" t="str">
        <f>HYPERLINK("https://twitter.com/David__EF/status/1065611505167564800","1065611505167564800")</f>
        <v>1065611505167564800</v>
      </c>
      <c r="F496" s="11" t="s">
        <v>635</v>
      </c>
      <c r="G496" s="12"/>
      <c r="H496" s="12"/>
      <c r="I496" s="13">
        <v>0</v>
      </c>
      <c r="J496" s="13">
        <v>0</v>
      </c>
      <c r="K496" s="14" t="str">
        <f t="shared" si="98"/>
        <v>Twitter Web Client</v>
      </c>
      <c r="L496" s="13">
        <v>2711</v>
      </c>
      <c r="M496" s="13">
        <v>1129</v>
      </c>
      <c r="N496" s="13">
        <v>14</v>
      </c>
      <c r="O496" s="15"/>
      <c r="P496" s="6">
        <v>41157.028761574074</v>
      </c>
      <c r="Q496" s="16" t="s">
        <v>118</v>
      </c>
      <c r="R496" s="17" t="s">
        <v>2876</v>
      </c>
      <c r="S496" s="12"/>
      <c r="T496" s="12"/>
      <c r="U496" s="10" t="str">
        <f t="shared" si="99"/>
        <v>View</v>
      </c>
    </row>
    <row r="497" spans="1:21" ht="40.799999999999997">
      <c r="A497" s="6">
        <v>43426.639351851853</v>
      </c>
      <c r="B497" s="7" t="str">
        <f>HYPERLINK("https://twitter.com/Falbco","@Falbco")</f>
        <v>@Falbco</v>
      </c>
      <c r="C497" s="8" t="s">
        <v>2882</v>
      </c>
      <c r="D497" s="9" t="s">
        <v>2884</v>
      </c>
      <c r="E497" s="10" t="str">
        <f>HYPERLINK("https://twitter.com/Falbco/status/1065611020662644736","1065611020662644736")</f>
        <v>1065611020662644736</v>
      </c>
      <c r="F497" s="11" t="s">
        <v>1617</v>
      </c>
      <c r="G497" s="12"/>
      <c r="H497" s="12"/>
      <c r="I497" s="13">
        <v>1</v>
      </c>
      <c r="J497" s="13">
        <v>0</v>
      </c>
      <c r="K497" s="14" t="str">
        <f t="shared" si="98"/>
        <v>Twitter Web Client</v>
      </c>
      <c r="L497" s="13">
        <v>51</v>
      </c>
      <c r="M497" s="13">
        <v>157</v>
      </c>
      <c r="N497" s="13">
        <v>1</v>
      </c>
      <c r="O497" s="15"/>
      <c r="P497" s="6">
        <v>41787.860196759255</v>
      </c>
      <c r="Q497" s="16" t="s">
        <v>2888</v>
      </c>
      <c r="R497" s="17" t="s">
        <v>2889</v>
      </c>
      <c r="S497" s="12"/>
      <c r="T497" s="12"/>
      <c r="U497" s="10" t="str">
        <f>HYPERLINK("https://pbs.twimg.com/profile_images/495610681522024448/LbyARzin.jpeg","View")</f>
        <v>View</v>
      </c>
    </row>
    <row r="498" spans="1:21" ht="20.399999999999999">
      <c r="A498" s="6">
        <v>43426.639189814814</v>
      </c>
      <c r="B498" s="7" t="str">
        <f>HYPERLINK("https://twitter.com/pablolprietmar","@pablolprietmar")</f>
        <v>@pablolprietmar</v>
      </c>
      <c r="C498" s="8" t="s">
        <v>2890</v>
      </c>
      <c r="D498" s="9" t="s">
        <v>632</v>
      </c>
      <c r="E498" s="10" t="str">
        <f>HYPERLINK("https://twitter.com/pablolprietmar/status/1065610963100024832","1065610963100024832")</f>
        <v>1065610963100024832</v>
      </c>
      <c r="F498" s="11" t="s">
        <v>635</v>
      </c>
      <c r="G498" s="12"/>
      <c r="H498" s="12"/>
      <c r="I498" s="13">
        <v>0</v>
      </c>
      <c r="J498" s="13">
        <v>0</v>
      </c>
      <c r="K498" s="14" t="str">
        <f t="shared" ref="K498:K499" si="100">HYPERLINK("http://twitter.com/download/android","Twitter for Android")</f>
        <v>Twitter for Android</v>
      </c>
      <c r="L498" s="13">
        <v>127</v>
      </c>
      <c r="M498" s="13">
        <v>147</v>
      </c>
      <c r="N498" s="13">
        <v>3</v>
      </c>
      <c r="O498" s="15"/>
      <c r="P498" s="6">
        <v>40710.544270833336</v>
      </c>
      <c r="Q498" s="16" t="s">
        <v>2891</v>
      </c>
      <c r="R498" s="17" t="s">
        <v>2892</v>
      </c>
      <c r="S498" s="11" t="s">
        <v>2893</v>
      </c>
      <c r="T498" s="12"/>
      <c r="U498" s="10" t="str">
        <f>HYPERLINK("https://pbs.twimg.com/profile_images/1033442618326298624/LcXfjkaf.jpg","View")</f>
        <v>View</v>
      </c>
    </row>
    <row r="499" spans="1:21" ht="20.399999999999999">
      <c r="A499" s="6">
        <v>43426.637314814812</v>
      </c>
      <c r="B499" s="7" t="str">
        <f>HYPERLINK("https://twitter.com/ElMochiMochi","@ElMochiMochi")</f>
        <v>@ElMochiMochi</v>
      </c>
      <c r="C499" s="8" t="s">
        <v>1290</v>
      </c>
      <c r="D499" s="9" t="s">
        <v>1291</v>
      </c>
      <c r="E499" s="10" t="str">
        <f>HYPERLINK("https://twitter.com/ElMochiMochi/status/1065610284419686400","1065610284419686400")</f>
        <v>1065610284419686400</v>
      </c>
      <c r="F499" s="11" t="s">
        <v>1293</v>
      </c>
      <c r="G499" s="12"/>
      <c r="H499" s="12"/>
      <c r="I499" s="13">
        <v>1</v>
      </c>
      <c r="J499" s="13">
        <v>0</v>
      </c>
      <c r="K499" s="14" t="str">
        <f t="shared" si="100"/>
        <v>Twitter for Android</v>
      </c>
      <c r="L499" s="13">
        <v>58</v>
      </c>
      <c r="M499" s="13">
        <v>308</v>
      </c>
      <c r="N499" s="13">
        <v>0</v>
      </c>
      <c r="O499" s="15"/>
      <c r="P499" s="6">
        <v>40987.093877314815</v>
      </c>
      <c r="Q499" s="12"/>
      <c r="R499" s="19"/>
      <c r="S499" s="12"/>
      <c r="T499" s="12"/>
      <c r="U499" s="10" t="str">
        <f>HYPERLINK("https://pbs.twimg.com/profile_images/1029350610188075008/wf9LM9Va.jpg","View")</f>
        <v>View</v>
      </c>
    </row>
    <row r="500" spans="1:21" ht="40.799999999999997">
      <c r="A500" s="6">
        <v>43426.636400462958</v>
      </c>
      <c r="B500" s="7" t="str">
        <f>HYPERLINK("https://twitter.com/Marcmanu","@Marcmanu")</f>
        <v>@Marcmanu</v>
      </c>
      <c r="C500" s="8" t="s">
        <v>2899</v>
      </c>
      <c r="D500" s="9" t="s">
        <v>2900</v>
      </c>
      <c r="E500" s="10" t="str">
        <f>HYPERLINK("https://twitter.com/Marcmanu/status/1065609950876057600","1065609950876057600")</f>
        <v>1065609950876057600</v>
      </c>
      <c r="F500" s="11" t="s">
        <v>635</v>
      </c>
      <c r="G500" s="12"/>
      <c r="H500" s="12"/>
      <c r="I500" s="13">
        <v>0</v>
      </c>
      <c r="J500" s="13">
        <v>0</v>
      </c>
      <c r="K500" s="14" t="str">
        <f>HYPERLINK("http://twitter.com/#!/download/ipad","Twitter for iPad")</f>
        <v>Twitter for iPad</v>
      </c>
      <c r="L500" s="13">
        <v>162</v>
      </c>
      <c r="M500" s="13">
        <v>197</v>
      </c>
      <c r="N500" s="13">
        <v>1</v>
      </c>
      <c r="O500" s="15"/>
      <c r="P500" s="6">
        <v>40432.034108796295</v>
      </c>
      <c r="Q500" s="16" t="s">
        <v>2903</v>
      </c>
      <c r="R500" s="17" t="s">
        <v>2904</v>
      </c>
      <c r="S500" s="12"/>
      <c r="T500" s="12"/>
      <c r="U500" s="10" t="str">
        <f>HYPERLINK("https://pbs.twimg.com/profile_images/1011373898863185928/0N00Hb8F.jpg","View")</f>
        <v>View</v>
      </c>
    </row>
    <row r="501" spans="1:21" ht="40.799999999999997">
      <c r="A501" s="6">
        <v>43426.636238425926</v>
      </c>
      <c r="B501" s="7" t="str">
        <f>HYPERLINK("https://twitter.com/edp","@edp")</f>
        <v>@edp</v>
      </c>
      <c r="C501" s="8" t="s">
        <v>140</v>
      </c>
      <c r="D501" s="9" t="s">
        <v>1297</v>
      </c>
      <c r="E501" s="10" t="str">
        <f>HYPERLINK("https://twitter.com/edp/status/1065609895058333696","1065609895058333696")</f>
        <v>1065609895058333696</v>
      </c>
      <c r="F501" s="12"/>
      <c r="G501" s="12"/>
      <c r="H501" s="12"/>
      <c r="I501" s="13">
        <v>1</v>
      </c>
      <c r="J501" s="13">
        <v>3</v>
      </c>
      <c r="K501" s="14" t="str">
        <f>HYPERLINK("http://twitter.com/download/iphone","Twitter for iPhone")</f>
        <v>Twitter for iPhone</v>
      </c>
      <c r="L501" s="13">
        <v>5613</v>
      </c>
      <c r="M501" s="13">
        <v>4117</v>
      </c>
      <c r="N501" s="13">
        <v>29</v>
      </c>
      <c r="O501" s="15"/>
      <c r="P501" s="6">
        <v>39289.674039351856</v>
      </c>
      <c r="Q501" s="16" t="s">
        <v>145</v>
      </c>
      <c r="R501" s="17" t="s">
        <v>146</v>
      </c>
      <c r="S501" s="11" t="s">
        <v>147</v>
      </c>
      <c r="T501" s="12"/>
      <c r="U501" s="10" t="str">
        <f>HYPERLINK("https://pbs.twimg.com/profile_images/922061033530896385/ykySPqpK.jpg","View")</f>
        <v>View</v>
      </c>
    </row>
    <row r="502" spans="1:21" ht="40.799999999999997">
      <c r="A502" s="6">
        <v>43426.635972222226</v>
      </c>
      <c r="B502" s="7" t="str">
        <f>HYPERLINK("https://twitter.com/roscs_latina","@roscs_latina")</f>
        <v>@roscs_latina</v>
      </c>
      <c r="C502" s="8" t="s">
        <v>2910</v>
      </c>
      <c r="D502" s="9" t="s">
        <v>632</v>
      </c>
      <c r="E502" s="10" t="str">
        <f>HYPERLINK("https://twitter.com/roscs_latina/status/1065609798585073664","1065609798585073664")</f>
        <v>1065609798585073664</v>
      </c>
      <c r="F502" s="11" t="s">
        <v>635</v>
      </c>
      <c r="G502" s="12"/>
      <c r="H502" s="12"/>
      <c r="I502" s="13">
        <v>0</v>
      </c>
      <c r="J502" s="13">
        <v>0</v>
      </c>
      <c r="K502" s="14" t="str">
        <f>HYPERLINK("http://twitter.com/download/android","Twitter for Android")</f>
        <v>Twitter for Android</v>
      </c>
      <c r="L502" s="13">
        <v>146</v>
      </c>
      <c r="M502" s="13">
        <v>532</v>
      </c>
      <c r="N502" s="13">
        <v>10</v>
      </c>
      <c r="O502" s="15"/>
      <c r="P502" s="6">
        <v>42320.358310185184</v>
      </c>
      <c r="Q502" s="12"/>
      <c r="R502" s="17" t="s">
        <v>2913</v>
      </c>
      <c r="S502" s="12"/>
      <c r="T502" s="12"/>
      <c r="U502" s="10" t="str">
        <f>HYPERLINK("https://pbs.twimg.com/profile_images/964596759119966208/k_QHdMnB.jpg","View")</f>
        <v>View</v>
      </c>
    </row>
    <row r="503" spans="1:21" ht="40.799999999999997">
      <c r="A503" s="6">
        <v>43426.635601851856</v>
      </c>
      <c r="B503" s="7" t="str">
        <f>HYPERLINK("https://twitter.com/Confraria_SEDR","@Confraria_SEDR")</f>
        <v>@Confraria_SEDR</v>
      </c>
      <c r="C503" s="8" t="s">
        <v>1300</v>
      </c>
      <c r="D503" s="9" t="s">
        <v>1301</v>
      </c>
      <c r="E503" s="10" t="str">
        <f>HYPERLINK("https://twitter.com/Confraria_SEDR/status/1065609661427183618","1065609661427183618")</f>
        <v>1065609661427183618</v>
      </c>
      <c r="F503" s="12"/>
      <c r="G503" s="12"/>
      <c r="H503" s="12"/>
      <c r="I503" s="13">
        <v>1</v>
      </c>
      <c r="J503" s="13">
        <v>0</v>
      </c>
      <c r="K503" s="14" t="str">
        <f>HYPERLINK("https://mobile.twitter.com","Twitter Lite")</f>
        <v>Twitter Lite</v>
      </c>
      <c r="L503" s="13">
        <v>2283</v>
      </c>
      <c r="M503" s="13">
        <v>2247</v>
      </c>
      <c r="N503" s="13">
        <v>10</v>
      </c>
      <c r="O503" s="15"/>
      <c r="P503" s="6">
        <v>43211.781400462962</v>
      </c>
      <c r="Q503" s="16" t="s">
        <v>759</v>
      </c>
      <c r="R503" s="17" t="s">
        <v>1304</v>
      </c>
      <c r="S503" s="12"/>
      <c r="T503" s="12"/>
      <c r="U503" s="10" t="str">
        <f>HYPERLINK("https://pbs.twimg.com/profile_images/987735438449430528/T2JllVAP.jpg","View")</f>
        <v>View</v>
      </c>
    </row>
    <row r="504" spans="1:21" ht="112.2">
      <c r="A504" s="6">
        <v>43426.633912037039</v>
      </c>
      <c r="B504" s="7" t="str">
        <f>HYPERLINK("https://twitter.com/Amonicaco","@Amonicaco")</f>
        <v>@Amonicaco</v>
      </c>
      <c r="C504" s="8" t="s">
        <v>1305</v>
      </c>
      <c r="D504" s="9" t="s">
        <v>1306</v>
      </c>
      <c r="E504" s="10" t="str">
        <f>HYPERLINK("https://twitter.com/Amonicaco/status/1065609049658572801","1065609049658572801")</f>
        <v>1065609049658572801</v>
      </c>
      <c r="F504" s="11" t="s">
        <v>962</v>
      </c>
      <c r="G504" s="11" t="s">
        <v>963</v>
      </c>
      <c r="H504" s="12"/>
      <c r="I504" s="13">
        <v>33</v>
      </c>
      <c r="J504" s="13">
        <v>33</v>
      </c>
      <c r="K504" s="14" t="str">
        <f>HYPERLINK("http://twitter.com/download/iphone","Twitter for iPhone")</f>
        <v>Twitter for iPhone</v>
      </c>
      <c r="L504" s="13">
        <v>988</v>
      </c>
      <c r="M504" s="13">
        <v>0</v>
      </c>
      <c r="N504" s="13">
        <v>14</v>
      </c>
      <c r="O504" s="15"/>
      <c r="P504" s="6">
        <v>41491.524872685186</v>
      </c>
      <c r="Q504" s="16" t="s">
        <v>290</v>
      </c>
      <c r="R504" s="17" t="s">
        <v>1307</v>
      </c>
      <c r="S504" s="11" t="s">
        <v>1308</v>
      </c>
      <c r="T504" s="12"/>
      <c r="U504" s="10" t="str">
        <f>HYPERLINK("https://pbs.twimg.com/profile_images/1014934336095780865/qUH5seMu.jpg","View")</f>
        <v>View</v>
      </c>
    </row>
    <row r="505" spans="1:21" ht="81.599999999999994">
      <c r="A505" s="6">
        <v>43426.63381944444</v>
      </c>
      <c r="B505" s="7" t="str">
        <f>HYPERLINK("https://twitter.com/benitoserres","@benitoserres")</f>
        <v>@benitoserres</v>
      </c>
      <c r="C505" s="8" t="s">
        <v>1309</v>
      </c>
      <c r="D505" s="9" t="s">
        <v>1310</v>
      </c>
      <c r="E505" s="10" t="str">
        <f>HYPERLINK("https://twitter.com/benitoserres/status/1065609019128197125","1065609019128197125")</f>
        <v>1065609019128197125</v>
      </c>
      <c r="F505" s="16" t="s">
        <v>1311</v>
      </c>
      <c r="G505" s="11" t="s">
        <v>1312</v>
      </c>
      <c r="H505" s="12"/>
      <c r="I505" s="13">
        <v>2</v>
      </c>
      <c r="J505" s="13">
        <v>2</v>
      </c>
      <c r="K505" s="14" t="str">
        <f t="shared" ref="K505:K506" si="101">HYPERLINK("http://twitter.com/download/android","Twitter for Android")</f>
        <v>Twitter for Android</v>
      </c>
      <c r="L505" s="13">
        <v>835</v>
      </c>
      <c r="M505" s="13">
        <v>1333</v>
      </c>
      <c r="N505" s="13">
        <v>14</v>
      </c>
      <c r="O505" s="15"/>
      <c r="P505" s="6">
        <v>40687.418449074074</v>
      </c>
      <c r="Q505" s="16" t="s">
        <v>1313</v>
      </c>
      <c r="R505" s="17" t="s">
        <v>1314</v>
      </c>
      <c r="S505" s="12"/>
      <c r="T505" s="12"/>
      <c r="U505" s="10" t="str">
        <f>HYPERLINK("https://pbs.twimg.com/profile_images/947442679310422016/La6EoMTS.jpg","View")</f>
        <v>View</v>
      </c>
    </row>
    <row r="506" spans="1:21" ht="30.6">
      <c r="A506" s="6">
        <v>43426.633240740739</v>
      </c>
      <c r="B506" s="7" t="str">
        <f>HYPERLINK("https://twitter.com/500DaysOfNerea","@500DaysOfNerea")</f>
        <v>@500DaysOfNerea</v>
      </c>
      <c r="C506" s="8" t="s">
        <v>2926</v>
      </c>
      <c r="D506" s="9" t="s">
        <v>2927</v>
      </c>
      <c r="E506" s="10" t="str">
        <f>HYPERLINK("https://twitter.com/500DaysOfNerea/status/1065608807873748992","1065608807873748992")</f>
        <v>1065608807873748992</v>
      </c>
      <c r="F506" s="12"/>
      <c r="G506" s="12"/>
      <c r="H506" s="12"/>
      <c r="I506" s="13">
        <v>0</v>
      </c>
      <c r="J506" s="13">
        <v>2</v>
      </c>
      <c r="K506" s="14" t="str">
        <f t="shared" si="101"/>
        <v>Twitter for Android</v>
      </c>
      <c r="L506" s="13">
        <v>2276</v>
      </c>
      <c r="M506" s="13">
        <v>851</v>
      </c>
      <c r="N506" s="13">
        <v>39</v>
      </c>
      <c r="O506" s="15"/>
      <c r="P506" s="6">
        <v>40360.675752314812</v>
      </c>
      <c r="Q506" s="16" t="s">
        <v>2928</v>
      </c>
      <c r="R506" s="17" t="s">
        <v>2929</v>
      </c>
      <c r="S506" s="11" t="s">
        <v>2930</v>
      </c>
      <c r="T506" s="12"/>
      <c r="U506" s="10" t="str">
        <f>HYPERLINK("https://pbs.twimg.com/profile_images/967827998367014912/xQnVFRHQ.jpg","View")</f>
        <v>View</v>
      </c>
    </row>
    <row r="507" spans="1:21" ht="20.399999999999999">
      <c r="A507" s="6">
        <v>43426.632569444446</v>
      </c>
      <c r="B507" s="7" t="str">
        <f>HYPERLINK("https://twitter.com/Eugenio63098874","@Eugenio63098874")</f>
        <v>@Eugenio63098874</v>
      </c>
      <c r="C507" s="8" t="s">
        <v>2934</v>
      </c>
      <c r="D507" s="9" t="s">
        <v>632</v>
      </c>
      <c r="E507" s="10" t="str">
        <f>HYPERLINK("https://twitter.com/Eugenio63098874/status/1065608565266751489","1065608565266751489")</f>
        <v>1065608565266751489</v>
      </c>
      <c r="F507" s="11" t="s">
        <v>635</v>
      </c>
      <c r="G507" s="12"/>
      <c r="H507" s="12"/>
      <c r="I507" s="13">
        <v>0</v>
      </c>
      <c r="J507" s="13">
        <v>0</v>
      </c>
      <c r="K507" s="14" t="str">
        <f>HYPERLINK("http://twitter.com","Twitter Web Client")</f>
        <v>Twitter Web Client</v>
      </c>
      <c r="L507" s="13">
        <v>22</v>
      </c>
      <c r="M507" s="13">
        <v>318</v>
      </c>
      <c r="N507" s="13">
        <v>0</v>
      </c>
      <c r="O507" s="15"/>
      <c r="P507" s="6">
        <v>43189.665138888886</v>
      </c>
      <c r="Q507" s="12"/>
      <c r="R507" s="19"/>
      <c r="S507" s="12"/>
      <c r="T507" s="12"/>
      <c r="U507" s="10" t="str">
        <f>HYPERLINK("https://pbs.twimg.com/profile_images/1044637518631710720/L1M74q26.jpg","View")</f>
        <v>View</v>
      </c>
    </row>
    <row r="508" spans="1:21" ht="40.799999999999997">
      <c r="A508" s="6">
        <v>43426.631979166668</v>
      </c>
      <c r="B508" s="7" t="str">
        <f>HYPERLINK("https://twitter.com/Cs_LaRoda","@Cs_LaRoda")</f>
        <v>@Cs_LaRoda</v>
      </c>
      <c r="C508" s="8" t="s">
        <v>1315</v>
      </c>
      <c r="D508" s="9" t="s">
        <v>1316</v>
      </c>
      <c r="E508" s="10" t="str">
        <f>HYPERLINK("https://twitter.com/Cs_LaRoda/status/1065608351206264832","1065608351206264832")</f>
        <v>1065608351206264832</v>
      </c>
      <c r="F508" s="12"/>
      <c r="G508" s="11" t="s">
        <v>1317</v>
      </c>
      <c r="H508" s="12"/>
      <c r="I508" s="13">
        <v>3</v>
      </c>
      <c r="J508" s="13">
        <v>3</v>
      </c>
      <c r="K508" s="14" t="str">
        <f>HYPERLINK("http://twitter.com/download/android","Twitter for Android")</f>
        <v>Twitter for Android</v>
      </c>
      <c r="L508" s="13">
        <v>672</v>
      </c>
      <c r="M508" s="13">
        <v>99</v>
      </c>
      <c r="N508" s="13">
        <v>6</v>
      </c>
      <c r="O508" s="15"/>
      <c r="P508" s="6">
        <v>42604.538854166662</v>
      </c>
      <c r="Q508" s="16" t="s">
        <v>1318</v>
      </c>
      <c r="R508" s="17" t="s">
        <v>1319</v>
      </c>
      <c r="S508" s="11" t="s">
        <v>1320</v>
      </c>
      <c r="T508" s="12"/>
      <c r="U508" s="10" t="str">
        <f>HYPERLINK("https://pbs.twimg.com/profile_images/899593916986662912/p-UOslvk.jpg","View")</f>
        <v>View</v>
      </c>
    </row>
    <row r="509" spans="1:21" ht="20.399999999999999">
      <c r="A509" s="6">
        <v>43426.629328703704</v>
      </c>
      <c r="B509" s="7" t="str">
        <f>HYPERLINK("https://twitter.com/tirso_perez","@tirso_perez")</f>
        <v>@tirso_perez</v>
      </c>
      <c r="C509" s="8" t="s">
        <v>2829</v>
      </c>
      <c r="D509" s="9" t="s">
        <v>1503</v>
      </c>
      <c r="E509" s="10" t="str">
        <f>HYPERLINK("https://twitter.com/tirso_perez/status/1065607391578853376","1065607391578853376")</f>
        <v>1065607391578853376</v>
      </c>
      <c r="F509" s="11" t="s">
        <v>1504</v>
      </c>
      <c r="G509" s="12"/>
      <c r="H509" s="12"/>
      <c r="I509" s="13">
        <v>0</v>
      </c>
      <c r="J509" s="13">
        <v>0</v>
      </c>
      <c r="K509" s="14" t="str">
        <f>HYPERLINK("http://twitter.com","Twitter Web Client")</f>
        <v>Twitter Web Client</v>
      </c>
      <c r="L509" s="13">
        <v>200</v>
      </c>
      <c r="M509" s="13">
        <v>889</v>
      </c>
      <c r="N509" s="13">
        <v>5</v>
      </c>
      <c r="O509" s="15"/>
      <c r="P509" s="6">
        <v>40936.635057870371</v>
      </c>
      <c r="Q509" s="12"/>
      <c r="R509" s="19"/>
      <c r="S509" s="12"/>
      <c r="T509" s="12"/>
      <c r="U509" s="10" t="str">
        <f>HYPERLINK("https://pbs.twimg.com/profile_images/824975902744403968/h3uRVXIG.jpg","View")</f>
        <v>View</v>
      </c>
    </row>
    <row r="510" spans="1:21" ht="30.6">
      <c r="A510" s="6">
        <v>43426.62804398148</v>
      </c>
      <c r="B510" s="7" t="str">
        <f>HYPERLINK("https://twitter.com/dvaquero","@dvaquero")</f>
        <v>@dvaquero</v>
      </c>
      <c r="C510" s="8" t="s">
        <v>2945</v>
      </c>
      <c r="D510" s="9" t="s">
        <v>2830</v>
      </c>
      <c r="E510" s="10" t="str">
        <f>HYPERLINK("https://twitter.com/dvaquero/status/1065606926095007745","1065606926095007745")</f>
        <v>1065606926095007745</v>
      </c>
      <c r="F510" s="11" t="s">
        <v>2946</v>
      </c>
      <c r="G510" s="12"/>
      <c r="H510" s="12"/>
      <c r="I510" s="13">
        <v>0</v>
      </c>
      <c r="J510" s="13">
        <v>0</v>
      </c>
      <c r="K510" s="14" t="str">
        <f t="shared" ref="K510:K511" si="102">HYPERLINK("http://twitter.com/download/android","Twitter for Android")</f>
        <v>Twitter for Android</v>
      </c>
      <c r="L510" s="13">
        <v>291</v>
      </c>
      <c r="M510" s="13">
        <v>300</v>
      </c>
      <c r="N510" s="13">
        <v>40</v>
      </c>
      <c r="O510" s="15"/>
      <c r="P510" s="6">
        <v>40092.536041666666</v>
      </c>
      <c r="Q510" s="12"/>
      <c r="R510" s="17" t="s">
        <v>2947</v>
      </c>
      <c r="S510" s="11" t="s">
        <v>2948</v>
      </c>
      <c r="T510" s="12"/>
      <c r="U510" s="10" t="str">
        <f>HYPERLINK("https://pbs.twimg.com/profile_images/2260007350/foto_perfil_fb.jpg","View")</f>
        <v>View</v>
      </c>
    </row>
    <row r="511" spans="1:21" ht="61.2">
      <c r="A511" s="6">
        <v>43426.626712962963</v>
      </c>
      <c r="B511" s="7" t="str">
        <f>HYPERLINK("https://twitter.com/JPOMBOPAK","@JPOMBOPAK")</f>
        <v>@JPOMBOPAK</v>
      </c>
      <c r="C511" s="8" t="s">
        <v>1321</v>
      </c>
      <c r="D511" s="9" t="s">
        <v>1322</v>
      </c>
      <c r="E511" s="10" t="str">
        <f>HYPERLINK("https://twitter.com/JPOMBOPAK/status/1065606442848321536","1065606442848321536")</f>
        <v>1065606442848321536</v>
      </c>
      <c r="F511" s="12"/>
      <c r="G511" s="11" t="s">
        <v>1323</v>
      </c>
      <c r="H511" s="12"/>
      <c r="I511" s="13">
        <v>0</v>
      </c>
      <c r="J511" s="13">
        <v>0</v>
      </c>
      <c r="K511" s="14" t="str">
        <f t="shared" si="102"/>
        <v>Twitter for Android</v>
      </c>
      <c r="L511" s="13">
        <v>4548</v>
      </c>
      <c r="M511" s="13">
        <v>2983</v>
      </c>
      <c r="N511" s="13">
        <v>43</v>
      </c>
      <c r="O511" s="15"/>
      <c r="P511" s="6">
        <v>40938.632858796293</v>
      </c>
      <c r="Q511" s="16" t="s">
        <v>37</v>
      </c>
      <c r="R511" s="17" t="s">
        <v>1324</v>
      </c>
      <c r="S511" s="11" t="s">
        <v>1325</v>
      </c>
      <c r="T511" s="12"/>
      <c r="U511" s="10" t="str">
        <f>HYPERLINK("https://pbs.twimg.com/profile_images/1062413955811942400/J2jpuBPM.jpg","View")</f>
        <v>View</v>
      </c>
    </row>
    <row r="512" spans="1:21" ht="51">
      <c r="A512" s="6">
        <v>43426.626388888893</v>
      </c>
      <c r="B512" s="7" t="str">
        <f>HYPERLINK("https://twitter.com/bitMomentum","@bitMomentum")</f>
        <v>@bitMomentum</v>
      </c>
      <c r="C512" s="8" t="s">
        <v>706</v>
      </c>
      <c r="D512" s="9" t="s">
        <v>1326</v>
      </c>
      <c r="E512" s="10" t="str">
        <f>HYPERLINK("https://twitter.com/bitMomentum/status/1065606323637837825","1065606323637837825")</f>
        <v>1065606323637837825</v>
      </c>
      <c r="F512" s="12"/>
      <c r="G512" s="12"/>
      <c r="H512" s="12"/>
      <c r="I512" s="13">
        <v>0</v>
      </c>
      <c r="J512" s="13">
        <v>0</v>
      </c>
      <c r="K512" s="14" t="str">
        <f>HYPERLINK("http://www.bitmomentum.com","bitMomentum Bot")</f>
        <v>bitMomentum Bot</v>
      </c>
      <c r="L512" s="13">
        <v>10132</v>
      </c>
      <c r="M512" s="13">
        <v>1060</v>
      </c>
      <c r="N512" s="13">
        <v>262</v>
      </c>
      <c r="O512" s="15"/>
      <c r="P512" s="6">
        <v>41608.667511574073</v>
      </c>
      <c r="Q512" s="12"/>
      <c r="R512" s="17" t="s">
        <v>708</v>
      </c>
      <c r="S512" s="11" t="s">
        <v>709</v>
      </c>
      <c r="T512" s="12"/>
      <c r="U512" s="10" t="str">
        <f>HYPERLINK("https://pbs.twimg.com/profile_images/378800000862185241/20ij2H3u.png","View")</f>
        <v>View</v>
      </c>
    </row>
    <row r="513" spans="1:21" ht="91.8">
      <c r="A513" s="6">
        <v>43426.626122685186</v>
      </c>
      <c r="B513" s="7" t="str">
        <f>HYPERLINK("https://twitter.com/delmoralo","@delmoralo")</f>
        <v>@delmoralo</v>
      </c>
      <c r="C513" s="8" t="s">
        <v>1329</v>
      </c>
      <c r="D513" s="9" t="s">
        <v>1330</v>
      </c>
      <c r="E513" s="10" t="str">
        <f>HYPERLINK("https://twitter.com/delmoralo/status/1065606230293524481","1065606230293524481")</f>
        <v>1065606230293524481</v>
      </c>
      <c r="F513" s="11" t="s">
        <v>1331</v>
      </c>
      <c r="G513" s="11" t="s">
        <v>1332</v>
      </c>
      <c r="H513" s="12"/>
      <c r="I513" s="13">
        <v>1</v>
      </c>
      <c r="J513" s="13">
        <v>7</v>
      </c>
      <c r="K513" s="14" t="str">
        <f>HYPERLINK("http://twitter.com/download/android","Twitter for Android")</f>
        <v>Twitter for Android</v>
      </c>
      <c r="L513" s="13">
        <v>2875</v>
      </c>
      <c r="M513" s="13">
        <v>299</v>
      </c>
      <c r="N513" s="13">
        <v>63</v>
      </c>
      <c r="O513" s="15"/>
      <c r="P513" s="6">
        <v>40406.843807870369</v>
      </c>
      <c r="Q513" s="16" t="s">
        <v>1335</v>
      </c>
      <c r="R513" s="17" t="s">
        <v>1336</v>
      </c>
      <c r="S513" s="11" t="s">
        <v>1337</v>
      </c>
      <c r="T513" s="12"/>
      <c r="U513" s="10" t="str">
        <f>HYPERLINK("https://pbs.twimg.com/profile_images/1027698376077451264/ybqgwhYD.jpg","View")</f>
        <v>View</v>
      </c>
    </row>
    <row r="514" spans="1:21" ht="40.799999999999997">
      <c r="A514" s="6">
        <v>43426.625694444447</v>
      </c>
      <c r="B514" s="7" t="str">
        <f>HYPERLINK("https://twitter.com/bitMomentum","@bitMomentum")</f>
        <v>@bitMomentum</v>
      </c>
      <c r="C514" s="8" t="s">
        <v>706</v>
      </c>
      <c r="D514" s="9" t="s">
        <v>1341</v>
      </c>
      <c r="E514" s="10" t="str">
        <f>HYPERLINK("https://twitter.com/bitMomentum/status/1065606071929237504","1065606071929237504")</f>
        <v>1065606071929237504</v>
      </c>
      <c r="F514" s="12"/>
      <c r="G514" s="12"/>
      <c r="H514" s="12"/>
      <c r="I514" s="13">
        <v>2</v>
      </c>
      <c r="J514" s="13">
        <v>0</v>
      </c>
      <c r="K514" s="14" t="str">
        <f>HYPERLINK("http://www.bitmomentum.com","bitMomentum Bot")</f>
        <v>bitMomentum Bot</v>
      </c>
      <c r="L514" s="13">
        <v>10132</v>
      </c>
      <c r="M514" s="13">
        <v>1060</v>
      </c>
      <c r="N514" s="13">
        <v>262</v>
      </c>
      <c r="O514" s="15"/>
      <c r="P514" s="6">
        <v>41608.667511574073</v>
      </c>
      <c r="Q514" s="12"/>
      <c r="R514" s="17" t="s">
        <v>708</v>
      </c>
      <c r="S514" s="11" t="s">
        <v>709</v>
      </c>
      <c r="T514" s="12"/>
      <c r="U514" s="10" t="str">
        <f>HYPERLINK("https://pbs.twimg.com/profile_images/378800000862185241/20ij2H3u.png","View")</f>
        <v>View</v>
      </c>
    </row>
    <row r="515" spans="1:21" ht="40.799999999999997">
      <c r="A515" s="6">
        <v>43426.625555555554</v>
      </c>
      <c r="B515" s="7" t="str">
        <f>HYPERLINK("https://twitter.com/edp","@edp")</f>
        <v>@edp</v>
      </c>
      <c r="C515" s="8" t="s">
        <v>140</v>
      </c>
      <c r="D515" s="9" t="s">
        <v>1342</v>
      </c>
      <c r="E515" s="10" t="str">
        <f>HYPERLINK("https://twitter.com/edp/status/1065606022507712512","1065606022507712512")</f>
        <v>1065606022507712512</v>
      </c>
      <c r="F515" s="12"/>
      <c r="G515" s="12"/>
      <c r="H515" s="12"/>
      <c r="I515" s="13">
        <v>0</v>
      </c>
      <c r="J515" s="13">
        <v>0</v>
      </c>
      <c r="K515" s="14" t="str">
        <f>HYPERLINK("http://twitter.com/download/iphone","Twitter for iPhone")</f>
        <v>Twitter for iPhone</v>
      </c>
      <c r="L515" s="13">
        <v>5613</v>
      </c>
      <c r="M515" s="13">
        <v>4117</v>
      </c>
      <c r="N515" s="13">
        <v>29</v>
      </c>
      <c r="O515" s="15"/>
      <c r="P515" s="6">
        <v>39289.674039351856</v>
      </c>
      <c r="Q515" s="16" t="s">
        <v>145</v>
      </c>
      <c r="R515" s="17" t="s">
        <v>146</v>
      </c>
      <c r="S515" s="11" t="s">
        <v>147</v>
      </c>
      <c r="T515" s="12"/>
      <c r="U515" s="10" t="str">
        <f>HYPERLINK("https://pbs.twimg.com/profile_images/922061033530896385/ykySPqpK.jpg","View")</f>
        <v>View</v>
      </c>
    </row>
    <row r="516" spans="1:21" ht="20.399999999999999">
      <c r="A516" s="6">
        <v>43426.625474537039</v>
      </c>
      <c r="B516" s="7" t="str">
        <f>HYPERLINK("https://twitter.com/jcpistoni","@jcpistoni")</f>
        <v>@jcpistoni</v>
      </c>
      <c r="C516" s="8" t="s">
        <v>2970</v>
      </c>
      <c r="D516" s="9" t="s">
        <v>632</v>
      </c>
      <c r="E516" s="10" t="str">
        <f>HYPERLINK("https://twitter.com/jcpistoni/status/1065605992640065536","1065605992640065536")</f>
        <v>1065605992640065536</v>
      </c>
      <c r="F516" s="11" t="s">
        <v>635</v>
      </c>
      <c r="G516" s="12"/>
      <c r="H516" s="12"/>
      <c r="I516" s="13">
        <v>0</v>
      </c>
      <c r="J516" s="13">
        <v>1</v>
      </c>
      <c r="K516" s="14" t="str">
        <f>HYPERLINK("http://twitter.com/download/android","Twitter for Android")</f>
        <v>Twitter for Android</v>
      </c>
      <c r="L516" s="13">
        <v>338</v>
      </c>
      <c r="M516" s="13">
        <v>615</v>
      </c>
      <c r="N516" s="13">
        <v>3</v>
      </c>
      <c r="O516" s="15"/>
      <c r="P516" s="6">
        <v>40615.748518518521</v>
      </c>
      <c r="Q516" s="16" t="s">
        <v>263</v>
      </c>
      <c r="R516" s="17" t="s">
        <v>2973</v>
      </c>
      <c r="S516" s="11" t="s">
        <v>2974</v>
      </c>
      <c r="T516" s="12"/>
      <c r="U516" s="10" t="str">
        <f>HYPERLINK("https://pbs.twimg.com/profile_images/877177319055556608/uYop5f1-.jpg","View")</f>
        <v>View</v>
      </c>
    </row>
    <row r="517" spans="1:21" ht="30.6">
      <c r="A517" s="6">
        <v>43426.625</v>
      </c>
      <c r="B517" s="7" t="str">
        <f>HYPERLINK("https://twitter.com/redaccionmedica","@redaccionmedica")</f>
        <v>@redaccionmedica</v>
      </c>
      <c r="C517" s="8" t="s">
        <v>1347</v>
      </c>
      <c r="D517" s="9" t="s">
        <v>1348</v>
      </c>
      <c r="E517" s="10" t="str">
        <f>HYPERLINK("https://twitter.com/redaccionmedica/status/1065605822053588993","1065605822053588993")</f>
        <v>1065605822053588993</v>
      </c>
      <c r="F517" s="11" t="s">
        <v>1350</v>
      </c>
      <c r="G517" s="11" t="s">
        <v>1351</v>
      </c>
      <c r="H517" s="12"/>
      <c r="I517" s="13">
        <v>0</v>
      </c>
      <c r="J517" s="13">
        <v>2</v>
      </c>
      <c r="K517" s="14" t="str">
        <f>HYPERLINK("https://about.twitter.com/products/tweetdeck","TweetDeck")</f>
        <v>TweetDeck</v>
      </c>
      <c r="L517" s="13">
        <v>63569</v>
      </c>
      <c r="M517" s="13">
        <v>7650</v>
      </c>
      <c r="N517" s="13">
        <v>1629</v>
      </c>
      <c r="O517" s="15"/>
      <c r="P517" s="6">
        <v>40533.359513888892</v>
      </c>
      <c r="Q517" s="16" t="s">
        <v>37</v>
      </c>
      <c r="R517" s="17" t="s">
        <v>1353</v>
      </c>
      <c r="S517" s="11" t="s">
        <v>1354</v>
      </c>
      <c r="T517" s="12"/>
      <c r="U517" s="10" t="str">
        <f>HYPERLINK("https://pbs.twimg.com/profile_images/841963983477346304/T2ZeoHai.jpg","View")</f>
        <v>View</v>
      </c>
    </row>
    <row r="518" spans="1:21" ht="30.6">
      <c r="A518" s="6">
        <v>43426.621342592596</v>
      </c>
      <c r="B518" s="7" t="str">
        <f>HYPERLINK("https://twitter.com/JavierCeruti","@JavierCeruti")</f>
        <v>@JavierCeruti</v>
      </c>
      <c r="C518" s="8" t="s">
        <v>2980</v>
      </c>
      <c r="D518" s="9" t="s">
        <v>632</v>
      </c>
      <c r="E518" s="10" t="str">
        <f>HYPERLINK("https://twitter.com/JavierCeruti/status/1065604494833139712","1065604494833139712")</f>
        <v>1065604494833139712</v>
      </c>
      <c r="F518" s="11" t="s">
        <v>635</v>
      </c>
      <c r="G518" s="12"/>
      <c r="H518" s="12"/>
      <c r="I518" s="13">
        <v>0</v>
      </c>
      <c r="J518" s="13">
        <v>0</v>
      </c>
      <c r="K518" s="14" t="str">
        <f>HYPERLINK("http://twitter.com/download/android","Twitter for Android")</f>
        <v>Twitter for Android</v>
      </c>
      <c r="L518" s="13">
        <v>1958</v>
      </c>
      <c r="M518" s="13">
        <v>3328</v>
      </c>
      <c r="N518" s="13">
        <v>31</v>
      </c>
      <c r="O518" s="15"/>
      <c r="P518" s="6">
        <v>41008.582488425927</v>
      </c>
      <c r="Q518" s="16" t="s">
        <v>2982</v>
      </c>
      <c r="R518" s="17" t="s">
        <v>2983</v>
      </c>
      <c r="S518" s="12"/>
      <c r="T518" s="12"/>
      <c r="U518" s="10" t="str">
        <f>HYPERLINK("https://pbs.twimg.com/profile_images/837757762507530244/Mz4lLyu6.jpg","View")</f>
        <v>View</v>
      </c>
    </row>
    <row r="519" spans="1:21" ht="20.399999999999999">
      <c r="A519" s="6">
        <v>43426.619849537034</v>
      </c>
      <c r="B519" s="7" t="str">
        <f>HYPERLINK("https://twitter.com/juansaesp","@juansaesp")</f>
        <v>@juansaesp</v>
      </c>
      <c r="C519" s="8" t="s">
        <v>2984</v>
      </c>
      <c r="D519" s="9" t="s">
        <v>2985</v>
      </c>
      <c r="E519" s="10" t="str">
        <f>HYPERLINK("https://twitter.com/juansaesp/status/1065603956251025408","1065603956251025408")</f>
        <v>1065603956251025408</v>
      </c>
      <c r="F519" s="11" t="s">
        <v>2206</v>
      </c>
      <c r="G519" s="12"/>
      <c r="H519" s="12"/>
      <c r="I519" s="13">
        <v>0</v>
      </c>
      <c r="J519" s="13">
        <v>0</v>
      </c>
      <c r="K519" s="14" t="str">
        <f>HYPERLINK("http://twitter.com/download/iphone","Twitter for iPhone")</f>
        <v>Twitter for iPhone</v>
      </c>
      <c r="L519" s="13">
        <v>1074</v>
      </c>
      <c r="M519" s="13">
        <v>2216</v>
      </c>
      <c r="N519" s="13">
        <v>21</v>
      </c>
      <c r="O519" s="15"/>
      <c r="P519" s="6">
        <v>40788.496481481481</v>
      </c>
      <c r="Q519" s="12"/>
      <c r="R519" s="17" t="s">
        <v>2990</v>
      </c>
      <c r="S519" s="12"/>
      <c r="T519" s="12"/>
      <c r="U519" s="10" t="str">
        <f>HYPERLINK("https://pbs.twimg.com/profile_images/695382019031695360/2s4xMltC.jpg","View")</f>
        <v>View</v>
      </c>
    </row>
    <row r="520" spans="1:21" ht="20.399999999999999">
      <c r="A520" s="6">
        <v>43426.618055555555</v>
      </c>
      <c r="B520" s="7" t="str">
        <f>HYPERLINK("https://twitter.com/Tremending","@Tremending")</f>
        <v>@Tremending</v>
      </c>
      <c r="C520" s="8" t="s">
        <v>1962</v>
      </c>
      <c r="D520" s="9" t="s">
        <v>1963</v>
      </c>
      <c r="E520" s="10" t="str">
        <f>HYPERLINK("https://twitter.com/Tremending/status/1065603304288178177","1065603304288178177")</f>
        <v>1065603304288178177</v>
      </c>
      <c r="F520" s="11" t="s">
        <v>495</v>
      </c>
      <c r="G520" s="12"/>
      <c r="H520" s="12"/>
      <c r="I520" s="13">
        <v>6</v>
      </c>
      <c r="J520" s="13">
        <v>5</v>
      </c>
      <c r="K520" s="14" t="str">
        <f>HYPERLINK("https://about.twitter.com/products/tweetdeck","TweetDeck")</f>
        <v>TweetDeck</v>
      </c>
      <c r="L520" s="13">
        <v>54663</v>
      </c>
      <c r="M520" s="13">
        <v>4</v>
      </c>
      <c r="N520" s="13">
        <v>522</v>
      </c>
      <c r="O520" s="18" t="s">
        <v>36</v>
      </c>
      <c r="P520" s="6">
        <v>41765.962523148148</v>
      </c>
      <c r="Q520" s="16" t="s">
        <v>1967</v>
      </c>
      <c r="R520" s="17" t="s">
        <v>1968</v>
      </c>
      <c r="S520" s="11" t="s">
        <v>1969</v>
      </c>
      <c r="T520" s="12"/>
      <c r="U520" s="10" t="str">
        <f>HYPERLINK("https://pbs.twimg.com/profile_images/801030804914704384/GSMNihQ_.jpg","View")</f>
        <v>View</v>
      </c>
    </row>
    <row r="521" spans="1:21" ht="91.8">
      <c r="A521" s="6">
        <v>43426.617303240739</v>
      </c>
      <c r="B521" s="7" t="str">
        <f>HYPERLINK("https://twitter.com/RuthIliana46","@RuthIliana46")</f>
        <v>@RuthIliana46</v>
      </c>
      <c r="C521" s="8" t="s">
        <v>437</v>
      </c>
      <c r="D521" s="9" t="s">
        <v>1355</v>
      </c>
      <c r="E521" s="10" t="str">
        <f>HYPERLINK("https://twitter.com/RuthIliana46/status/1065603034342932480","1065603034342932480")</f>
        <v>1065603034342932480</v>
      </c>
      <c r="F521" s="16" t="s">
        <v>1358</v>
      </c>
      <c r="G521" s="12"/>
      <c r="H521" s="12"/>
      <c r="I521" s="13">
        <v>6</v>
      </c>
      <c r="J521" s="13">
        <v>7</v>
      </c>
      <c r="K521" s="14" t="str">
        <f t="shared" ref="K521:K523" si="103">HYPERLINK("http://twitter.com/download/android","Twitter for Android")</f>
        <v>Twitter for Android</v>
      </c>
      <c r="L521" s="13">
        <v>4287</v>
      </c>
      <c r="M521" s="13">
        <v>4178</v>
      </c>
      <c r="N521" s="13">
        <v>483</v>
      </c>
      <c r="O521" s="15"/>
      <c r="P521" s="6">
        <v>41235.80333333333</v>
      </c>
      <c r="Q521" s="16" t="s">
        <v>440</v>
      </c>
      <c r="R521" s="17" t="s">
        <v>441</v>
      </c>
      <c r="S521" s="11" t="s">
        <v>442</v>
      </c>
      <c r="T521" s="12"/>
      <c r="U521" s="10" t="str">
        <f>HYPERLINK("https://pbs.twimg.com/profile_images/976118533162721287/GaSph7A7.jpg","View")</f>
        <v>View</v>
      </c>
    </row>
    <row r="522" spans="1:21" ht="51">
      <c r="A522" s="6">
        <v>43426.616087962961</v>
      </c>
      <c r="B522" s="7" t="str">
        <f>HYPERLINK("https://twitter.com/andergsolana","@andergsolana")</f>
        <v>@andergsolana</v>
      </c>
      <c r="C522" s="8" t="s">
        <v>1361</v>
      </c>
      <c r="D522" s="9" t="s">
        <v>1362</v>
      </c>
      <c r="E522" s="10" t="str">
        <f>HYPERLINK("https://twitter.com/andergsolana/status/1065602593181888512","1065602593181888512")</f>
        <v>1065602593181888512</v>
      </c>
      <c r="F522" s="12"/>
      <c r="G522" s="12"/>
      <c r="H522" s="12"/>
      <c r="I522" s="13">
        <v>1</v>
      </c>
      <c r="J522" s="13">
        <v>3</v>
      </c>
      <c r="K522" s="14" t="str">
        <f t="shared" si="103"/>
        <v>Twitter for Android</v>
      </c>
      <c r="L522" s="13">
        <v>877</v>
      </c>
      <c r="M522" s="13">
        <v>340</v>
      </c>
      <c r="N522" s="13">
        <v>24</v>
      </c>
      <c r="O522" s="15"/>
      <c r="P522" s="6">
        <v>41798.895613425928</v>
      </c>
      <c r="Q522" s="12"/>
      <c r="R522" s="17" t="s">
        <v>1366</v>
      </c>
      <c r="S522" s="12"/>
      <c r="T522" s="12"/>
      <c r="U522" s="10" t="str">
        <f>HYPERLINK("https://pbs.twimg.com/profile_images/654311950558625792/RYG74NKt.jpg","View")</f>
        <v>View</v>
      </c>
    </row>
    <row r="523" spans="1:21" ht="71.400000000000006">
      <c r="A523" s="6">
        <v>43426.615972222222</v>
      </c>
      <c r="B523" s="7" t="str">
        <f>HYPERLINK("https://twitter.com/joanmiquelm4","@joanmiquelm4")</f>
        <v>@joanmiquelm4</v>
      </c>
      <c r="C523" s="8" t="s">
        <v>1370</v>
      </c>
      <c r="D523" s="9" t="s">
        <v>1371</v>
      </c>
      <c r="E523" s="10" t="str">
        <f>HYPERLINK("https://twitter.com/joanmiquelm4/status/1065602549200445440","1065602549200445440")</f>
        <v>1065602549200445440</v>
      </c>
      <c r="F523" s="11" t="s">
        <v>1331</v>
      </c>
      <c r="G523" s="11" t="s">
        <v>1332</v>
      </c>
      <c r="H523" s="12"/>
      <c r="I523" s="13">
        <v>0</v>
      </c>
      <c r="J523" s="13">
        <v>0</v>
      </c>
      <c r="K523" s="14" t="str">
        <f t="shared" si="103"/>
        <v>Twitter for Android</v>
      </c>
      <c r="L523" s="13">
        <v>186</v>
      </c>
      <c r="M523" s="13">
        <v>250</v>
      </c>
      <c r="N523" s="13">
        <v>22</v>
      </c>
      <c r="O523" s="15"/>
      <c r="P523" s="6">
        <v>41963.710092592592</v>
      </c>
      <c r="Q523" s="12"/>
      <c r="R523" s="17" t="s">
        <v>1373</v>
      </c>
      <c r="S523" s="12"/>
      <c r="T523" s="12"/>
      <c r="U523" s="10" t="str">
        <f>HYPERLINK("https://pbs.twimg.com/profile_images/535464079948017666/sd81e-bA.jpeg","View")</f>
        <v>View</v>
      </c>
    </row>
    <row r="524" spans="1:21" ht="30.6">
      <c r="A524" s="6">
        <v>43426.615659722222</v>
      </c>
      <c r="B524" s="7" t="str">
        <f>HYPERLINK("https://twitter.com/Kerubbin","@Kerubbin")</f>
        <v>@Kerubbin</v>
      </c>
      <c r="C524" s="8" t="s">
        <v>1376</v>
      </c>
      <c r="D524" s="9" t="s">
        <v>1377</v>
      </c>
      <c r="E524" s="10" t="str">
        <f>HYPERLINK("https://twitter.com/Kerubbin/status/1065602438311395328","1065602438311395328")</f>
        <v>1065602438311395328</v>
      </c>
      <c r="F524" s="11" t="s">
        <v>635</v>
      </c>
      <c r="G524" s="12"/>
      <c r="H524" s="12"/>
      <c r="I524" s="13">
        <v>0</v>
      </c>
      <c r="J524" s="13">
        <v>3</v>
      </c>
      <c r="K524" s="14" t="str">
        <f>HYPERLINK("http://twitter.com","Twitter Web Client")</f>
        <v>Twitter Web Client</v>
      </c>
      <c r="L524" s="13">
        <v>891</v>
      </c>
      <c r="M524" s="13">
        <v>1556</v>
      </c>
      <c r="N524" s="13">
        <v>6</v>
      </c>
      <c r="O524" s="15"/>
      <c r="P524" s="6">
        <v>40051.011967592596</v>
      </c>
      <c r="Q524" s="16" t="s">
        <v>207</v>
      </c>
      <c r="R524" s="17" t="s">
        <v>1378</v>
      </c>
      <c r="S524" s="12"/>
      <c r="T524" s="12"/>
      <c r="U524" s="10" t="str">
        <f>HYPERLINK("https://pbs.twimg.com/profile_images/974951453734461440/hryNekN-.jpg","View")</f>
        <v>View</v>
      </c>
    </row>
    <row r="525" spans="1:21" ht="91.8">
      <c r="A525" s="6">
        <v>43426.614016203705</v>
      </c>
      <c r="B525" s="7" t="str">
        <f>HYPERLINK("https://twitter.com/joanmiquelm4","@joanmiquelm4")</f>
        <v>@joanmiquelm4</v>
      </c>
      <c r="C525" s="8" t="s">
        <v>1370</v>
      </c>
      <c r="D525" s="9" t="s">
        <v>1379</v>
      </c>
      <c r="E525" s="10" t="str">
        <f>HYPERLINK("https://twitter.com/joanmiquelm4/status/1065601839067013120","1065601839067013120")</f>
        <v>1065601839067013120</v>
      </c>
      <c r="F525" s="11" t="s">
        <v>1380</v>
      </c>
      <c r="G525" s="11" t="s">
        <v>1381</v>
      </c>
      <c r="H525" s="12"/>
      <c r="I525" s="13">
        <v>0</v>
      </c>
      <c r="J525" s="13">
        <v>0</v>
      </c>
      <c r="K525" s="14" t="str">
        <f>HYPERLINK("http://twitter.com/download/android","Twitter for Android")</f>
        <v>Twitter for Android</v>
      </c>
      <c r="L525" s="13">
        <v>186</v>
      </c>
      <c r="M525" s="13">
        <v>250</v>
      </c>
      <c r="N525" s="13">
        <v>22</v>
      </c>
      <c r="O525" s="15"/>
      <c r="P525" s="6">
        <v>41963.710092592592</v>
      </c>
      <c r="Q525" s="12"/>
      <c r="R525" s="17" t="s">
        <v>1373</v>
      </c>
      <c r="S525" s="12"/>
      <c r="T525" s="12"/>
      <c r="U525" s="10" t="str">
        <f>HYPERLINK("https://pbs.twimg.com/profile_images/535464079948017666/sd81e-bA.jpeg","View")</f>
        <v>View</v>
      </c>
    </row>
    <row r="526" spans="1:21" ht="40.799999999999997">
      <c r="A526" s="6">
        <v>43426.613680555558</v>
      </c>
      <c r="B526" s="7" t="str">
        <f>HYPERLINK("https://twitter.com/uve1789","@uve1789")</f>
        <v>@uve1789</v>
      </c>
      <c r="C526" s="8" t="s">
        <v>1386</v>
      </c>
      <c r="D526" s="9" t="s">
        <v>1387</v>
      </c>
      <c r="E526" s="10" t="str">
        <f>HYPERLINK("https://twitter.com/uve1789/status/1065601717994225665","1065601717994225665")</f>
        <v>1065601717994225665</v>
      </c>
      <c r="F526" s="11" t="s">
        <v>1388</v>
      </c>
      <c r="G526" s="12"/>
      <c r="H526" s="12"/>
      <c r="I526" s="13">
        <v>0</v>
      </c>
      <c r="J526" s="13">
        <v>0</v>
      </c>
      <c r="K526" s="14" t="str">
        <f t="shared" ref="K526:K527" si="104">HYPERLINK("http://twitter.com/download/iphone","Twitter for iPhone")</f>
        <v>Twitter for iPhone</v>
      </c>
      <c r="L526" s="13">
        <v>939</v>
      </c>
      <c r="M526" s="13">
        <v>588</v>
      </c>
      <c r="N526" s="13">
        <v>17</v>
      </c>
      <c r="O526" s="15"/>
      <c r="P526" s="6">
        <v>39924.120972222227</v>
      </c>
      <c r="Q526" s="16" t="s">
        <v>1391</v>
      </c>
      <c r="R526" s="17" t="s">
        <v>1392</v>
      </c>
      <c r="S526" s="12"/>
      <c r="T526" s="12"/>
      <c r="U526" s="10" t="str">
        <f>HYPERLINK("https://pbs.twimg.com/profile_images/806821158016479232/ahHzpfsA.jpg","View")</f>
        <v>View</v>
      </c>
    </row>
    <row r="527" spans="1:21" ht="40.799999999999997">
      <c r="A527" s="6">
        <v>43426.613275462965</v>
      </c>
      <c r="B527" s="7" t="str">
        <f>HYPERLINK("https://twitter.com/domenec_ortiz","@domenec_ortiz")</f>
        <v>@domenec_ortiz</v>
      </c>
      <c r="C527" s="8" t="s">
        <v>3016</v>
      </c>
      <c r="D527" s="9" t="s">
        <v>3017</v>
      </c>
      <c r="E527" s="10" t="str">
        <f>HYPERLINK("https://twitter.com/domenec_ortiz/status/1065601571046785024","1065601571046785024")</f>
        <v>1065601571046785024</v>
      </c>
      <c r="F527" s="11" t="s">
        <v>557</v>
      </c>
      <c r="G527" s="12"/>
      <c r="H527" s="12"/>
      <c r="I527" s="13">
        <v>1</v>
      </c>
      <c r="J527" s="13">
        <v>1</v>
      </c>
      <c r="K527" s="14" t="str">
        <f t="shared" si="104"/>
        <v>Twitter for iPhone</v>
      </c>
      <c r="L527" s="13">
        <v>9268</v>
      </c>
      <c r="M527" s="13">
        <v>5970</v>
      </c>
      <c r="N527" s="13">
        <v>73</v>
      </c>
      <c r="O527" s="15"/>
      <c r="P527" s="6">
        <v>41310.775046296294</v>
      </c>
      <c r="Q527" s="16" t="s">
        <v>3021</v>
      </c>
      <c r="R527" s="17" t="s">
        <v>3022</v>
      </c>
      <c r="S527" s="12"/>
      <c r="T527" s="12"/>
      <c r="U527" s="10" t="str">
        <f>HYPERLINK("https://pbs.twimg.com/profile_images/378800000699264746/5987c0916b8a717f3bb1b4d28f125346.jpeg","View")</f>
        <v>View</v>
      </c>
    </row>
    <row r="528" spans="1:21" ht="51">
      <c r="A528" s="6">
        <v>43426.611956018518</v>
      </c>
      <c r="B528" s="7" t="str">
        <f>HYPERLINK("https://twitter.com/JeSsBcn_","@JeSsBcn_")</f>
        <v>@JeSsBcn_</v>
      </c>
      <c r="C528" s="8" t="s">
        <v>1394</v>
      </c>
      <c r="D528" s="9" t="s">
        <v>1395</v>
      </c>
      <c r="E528" s="10" t="str">
        <f>HYPERLINK("https://twitter.com/JeSsBcn_/status/1065601092711530496","1065601092711530496")</f>
        <v>1065601092711530496</v>
      </c>
      <c r="F528" s="12"/>
      <c r="G528" s="12"/>
      <c r="H528" s="12"/>
      <c r="I528" s="13">
        <v>1</v>
      </c>
      <c r="J528" s="13">
        <v>3</v>
      </c>
      <c r="K528" s="14" t="str">
        <f>HYPERLINK("http://twitter.com/download/android","Twitter for Android")</f>
        <v>Twitter for Android</v>
      </c>
      <c r="L528" s="13">
        <v>2090</v>
      </c>
      <c r="M528" s="13">
        <v>1611</v>
      </c>
      <c r="N528" s="13">
        <v>5</v>
      </c>
      <c r="O528" s="15"/>
      <c r="P528" s="6">
        <v>43020.993229166663</v>
      </c>
      <c r="Q528" s="16" t="s">
        <v>204</v>
      </c>
      <c r="R528" s="17" t="s">
        <v>1398</v>
      </c>
      <c r="S528" s="12"/>
      <c r="T528" s="12"/>
      <c r="U528" s="10" t="str">
        <f>HYPERLINK("https://pbs.twimg.com/profile_images/1041387891463806977/ccPFsZ32.jpg","View")</f>
        <v>View</v>
      </c>
    </row>
    <row r="529" spans="1:21" ht="40.799999999999997">
      <c r="A529" s="6">
        <v>43426.611030092594</v>
      </c>
      <c r="B529" s="7" t="str">
        <f>HYPERLINK("https://twitter.com/Albert_Rivera","@Albert_Rivera")</f>
        <v>@Albert_Rivera</v>
      </c>
      <c r="C529" s="8" t="s">
        <v>389</v>
      </c>
      <c r="D529" s="9" t="s">
        <v>3028</v>
      </c>
      <c r="E529" s="10" t="str">
        <f>HYPERLINK("https://twitter.com/Albert_Rivera/status/1065600760770105344","1065600760770105344")</f>
        <v>1065600760770105344</v>
      </c>
      <c r="F529" s="12"/>
      <c r="G529" s="11" t="s">
        <v>1332</v>
      </c>
      <c r="H529" s="12"/>
      <c r="I529" s="13">
        <v>760</v>
      </c>
      <c r="J529" s="13">
        <v>1623</v>
      </c>
      <c r="K529" s="14" t="str">
        <f>HYPERLINK("http://twitter.com/download/iphone","Twitter for iPhone")</f>
        <v>Twitter for iPhone</v>
      </c>
      <c r="L529" s="13">
        <v>1071530</v>
      </c>
      <c r="M529" s="13">
        <v>2545</v>
      </c>
      <c r="N529" s="13">
        <v>5104</v>
      </c>
      <c r="O529" s="18" t="s">
        <v>36</v>
      </c>
      <c r="P529" s="6">
        <v>40205.748171296298</v>
      </c>
      <c r="Q529" s="16" t="s">
        <v>37</v>
      </c>
      <c r="R529" s="17" t="s">
        <v>393</v>
      </c>
      <c r="S529" s="11" t="s">
        <v>394</v>
      </c>
      <c r="T529" s="12"/>
      <c r="U529" s="10" t="str">
        <f>HYPERLINK("https://pbs.twimg.com/profile_images/1030708936779988993/RncDM4EZ.jpg","View")</f>
        <v>View</v>
      </c>
    </row>
    <row r="530" spans="1:21" ht="51">
      <c r="A530" s="6">
        <v>43426.610949074078</v>
      </c>
      <c r="B530" s="7" t="str">
        <f>HYPERLINK("https://twitter.com/juanjoband24","@juanjoband24")</f>
        <v>@juanjoband24</v>
      </c>
      <c r="C530" s="8" t="s">
        <v>1402</v>
      </c>
      <c r="D530" s="9" t="s">
        <v>1403</v>
      </c>
      <c r="E530" s="10" t="str">
        <f>HYPERLINK("https://twitter.com/juanjoband24/status/1065600728247558144","1065600728247558144")</f>
        <v>1065600728247558144</v>
      </c>
      <c r="F530" s="12"/>
      <c r="G530" s="12"/>
      <c r="H530" s="12"/>
      <c r="I530" s="13">
        <v>1</v>
      </c>
      <c r="J530" s="13">
        <v>2</v>
      </c>
      <c r="K530" s="14" t="str">
        <f t="shared" ref="K530:K531" si="105">HYPERLINK("http://twitter.com/download/android","Twitter for Android")</f>
        <v>Twitter for Android</v>
      </c>
      <c r="L530" s="13">
        <v>2098</v>
      </c>
      <c r="M530" s="13">
        <v>995</v>
      </c>
      <c r="N530" s="13">
        <v>13</v>
      </c>
      <c r="O530" s="15"/>
      <c r="P530" s="6">
        <v>40844.696689814817</v>
      </c>
      <c r="Q530" s="16" t="s">
        <v>1405</v>
      </c>
      <c r="R530" s="27" t="s">
        <v>1406</v>
      </c>
      <c r="S530" s="12"/>
      <c r="T530" s="12"/>
      <c r="U530" s="10" t="str">
        <f>HYPERLINK("https://pbs.twimg.com/profile_images/1031236136675491840/ZxteYaNT.jpg","View")</f>
        <v>View</v>
      </c>
    </row>
    <row r="531" spans="1:21" ht="91.8">
      <c r="A531" s="6">
        <v>43426.609803240739</v>
      </c>
      <c r="B531" s="7" t="str">
        <f>HYPERLINK("https://twitter.com/RuthIliana46","@RuthIliana46")</f>
        <v>@RuthIliana46</v>
      </c>
      <c r="C531" s="8" t="s">
        <v>437</v>
      </c>
      <c r="D531" s="9" t="s">
        <v>1407</v>
      </c>
      <c r="E531" s="10" t="str">
        <f>HYPERLINK("https://twitter.com/RuthIliana46/status/1065600314005495809","1065600314005495809")</f>
        <v>1065600314005495809</v>
      </c>
      <c r="F531" s="16" t="s">
        <v>1408</v>
      </c>
      <c r="G531" s="12"/>
      <c r="H531" s="12"/>
      <c r="I531" s="13">
        <v>6</v>
      </c>
      <c r="J531" s="13">
        <v>6</v>
      </c>
      <c r="K531" s="14" t="str">
        <f t="shared" si="105"/>
        <v>Twitter for Android</v>
      </c>
      <c r="L531" s="13">
        <v>4287</v>
      </c>
      <c r="M531" s="13">
        <v>4178</v>
      </c>
      <c r="N531" s="13">
        <v>483</v>
      </c>
      <c r="O531" s="15"/>
      <c r="P531" s="6">
        <v>41235.80333333333</v>
      </c>
      <c r="Q531" s="16" t="s">
        <v>440</v>
      </c>
      <c r="R531" s="17" t="s">
        <v>441</v>
      </c>
      <c r="S531" s="11" t="s">
        <v>442</v>
      </c>
      <c r="T531" s="12"/>
      <c r="U531" s="10" t="str">
        <f>HYPERLINK("https://pbs.twimg.com/profile_images/976118533162721287/GaSph7A7.jpg","View")</f>
        <v>View</v>
      </c>
    </row>
    <row r="532" spans="1:21" ht="20.399999999999999">
      <c r="A532" s="6">
        <v>43426.608483796299</v>
      </c>
      <c r="B532" s="7" t="str">
        <f>HYPERLINK("https://twitter.com/fedekaratbars1","@fedekaratbars1")</f>
        <v>@fedekaratbars1</v>
      </c>
      <c r="C532" s="8" t="s">
        <v>3039</v>
      </c>
      <c r="D532" s="9" t="s">
        <v>1963</v>
      </c>
      <c r="E532" s="10" t="str">
        <f>HYPERLINK("https://twitter.com/fedekaratbars1/status/1065599836379144192","1065599836379144192")</f>
        <v>1065599836379144192</v>
      </c>
      <c r="F532" s="11" t="s">
        <v>1700</v>
      </c>
      <c r="G532" s="12"/>
      <c r="H532" s="12"/>
      <c r="I532" s="13">
        <v>0</v>
      </c>
      <c r="J532" s="13">
        <v>0</v>
      </c>
      <c r="K532" s="14" t="str">
        <f>HYPERLINK("http://www.facebook.com/twitter","Facebook")</f>
        <v>Facebook</v>
      </c>
      <c r="L532" s="13">
        <v>869</v>
      </c>
      <c r="M532" s="13">
        <v>2002</v>
      </c>
      <c r="N532" s="13">
        <v>13</v>
      </c>
      <c r="O532" s="15"/>
      <c r="P532" s="6">
        <v>41861.542372685188</v>
      </c>
      <c r="Q532" s="16" t="s">
        <v>3045</v>
      </c>
      <c r="R532" s="17" t="s">
        <v>3039</v>
      </c>
      <c r="S532" s="12"/>
      <c r="T532" s="12"/>
      <c r="U532" s="10" t="str">
        <f>HYPERLINK("https://pbs.twimg.com/profile_images/888328228171132928/xyzFFjuA.jpg","View")</f>
        <v>View</v>
      </c>
    </row>
    <row r="533" spans="1:21" ht="40.799999999999997">
      <c r="A533" s="6">
        <v>43426.606342592597</v>
      </c>
      <c r="B533" s="7" t="str">
        <f>HYPERLINK("https://twitter.com/skifanatic2011","@skifanatic2011")</f>
        <v>@skifanatic2011</v>
      </c>
      <c r="C533" s="8" t="s">
        <v>3047</v>
      </c>
      <c r="D533" s="9" t="s">
        <v>632</v>
      </c>
      <c r="E533" s="10" t="str">
        <f>HYPERLINK("https://twitter.com/skifanatic2011/status/1065599060516720640","1065599060516720640")</f>
        <v>1065599060516720640</v>
      </c>
      <c r="F533" s="11" t="s">
        <v>635</v>
      </c>
      <c r="G533" s="12"/>
      <c r="H533" s="12"/>
      <c r="I533" s="13">
        <v>0</v>
      </c>
      <c r="J533" s="13">
        <v>0</v>
      </c>
      <c r="K533" s="14" t="str">
        <f t="shared" ref="K533:K534" si="106">HYPERLINK("http://twitter.com/download/android","Twitter for Android")</f>
        <v>Twitter for Android</v>
      </c>
      <c r="L533" s="13">
        <v>63</v>
      </c>
      <c r="M533" s="13">
        <v>293</v>
      </c>
      <c r="N533" s="13">
        <v>5</v>
      </c>
      <c r="O533" s="15"/>
      <c r="P533" s="6">
        <v>40792.766365740739</v>
      </c>
      <c r="Q533" s="16" t="s">
        <v>496</v>
      </c>
      <c r="R533" s="17" t="s">
        <v>3050</v>
      </c>
      <c r="S533" s="12"/>
      <c r="T533" s="12"/>
      <c r="U533" s="10" t="str">
        <f>HYPERLINK("https://pbs.twimg.com/profile_images/799750272004268036/3dj2UNHR.jpg","View")</f>
        <v>View</v>
      </c>
    </row>
    <row r="534" spans="1:21" ht="30.6">
      <c r="A534" s="6">
        <v>43426.605729166666</v>
      </c>
      <c r="B534" s="7" t="str">
        <f>HYPERLINK("https://twitter.com/sntrlz","@sntrlz")</f>
        <v>@sntrlz</v>
      </c>
      <c r="C534" s="8" t="s">
        <v>3053</v>
      </c>
      <c r="D534" s="9" t="s">
        <v>3054</v>
      </c>
      <c r="E534" s="10" t="str">
        <f>HYPERLINK("https://twitter.com/sntrlz/status/1065598837786640384","1065598837786640384")</f>
        <v>1065598837786640384</v>
      </c>
      <c r="F534" s="12"/>
      <c r="G534" s="12"/>
      <c r="H534" s="12"/>
      <c r="I534" s="13">
        <v>2</v>
      </c>
      <c r="J534" s="13">
        <v>3</v>
      </c>
      <c r="K534" s="14" t="str">
        <f t="shared" si="106"/>
        <v>Twitter for Android</v>
      </c>
      <c r="L534" s="13">
        <v>650</v>
      </c>
      <c r="M534" s="13">
        <v>692</v>
      </c>
      <c r="N534" s="13">
        <v>5</v>
      </c>
      <c r="O534" s="15"/>
      <c r="P534" s="6">
        <v>42098.472164351857</v>
      </c>
      <c r="Q534" s="16" t="s">
        <v>3058</v>
      </c>
      <c r="R534" s="17" t="s">
        <v>3059</v>
      </c>
      <c r="S534" s="11" t="s">
        <v>3060</v>
      </c>
      <c r="T534" s="12"/>
      <c r="U534" s="10" t="str">
        <f>HYPERLINK("https://pbs.twimg.com/profile_images/679005195368550401/GVB5y5BV.jpg","View")</f>
        <v>View</v>
      </c>
    </row>
    <row r="535" spans="1:21" ht="40.799999999999997">
      <c r="A535" s="6">
        <v>43426.605590277773</v>
      </c>
      <c r="B535" s="7" t="str">
        <f>HYPERLINK("https://twitter.com/davidgonzal123","@davidgonzal123")</f>
        <v>@davidgonzal123</v>
      </c>
      <c r="C535" s="8" t="s">
        <v>3061</v>
      </c>
      <c r="D535" s="9" t="s">
        <v>3062</v>
      </c>
      <c r="E535" s="10" t="str">
        <f>HYPERLINK("https://twitter.com/davidgonzal123/status/1065598786439995394","1065598786439995394")</f>
        <v>1065598786439995394</v>
      </c>
      <c r="F535" s="12"/>
      <c r="G535" s="12"/>
      <c r="H535" s="12"/>
      <c r="I535" s="13">
        <v>0</v>
      </c>
      <c r="J535" s="13">
        <v>0</v>
      </c>
      <c r="K535" s="14" t="str">
        <f>HYPERLINK("http://twitter.com","Twitter Web Client")</f>
        <v>Twitter Web Client</v>
      </c>
      <c r="L535" s="13">
        <v>938</v>
      </c>
      <c r="M535" s="13">
        <v>1007</v>
      </c>
      <c r="N535" s="13">
        <v>13</v>
      </c>
      <c r="O535" s="15"/>
      <c r="P535" s="6">
        <v>40688.547060185185</v>
      </c>
      <c r="Q535" s="16" t="s">
        <v>3063</v>
      </c>
      <c r="R535" s="17" t="s">
        <v>3064</v>
      </c>
      <c r="S535" s="12"/>
      <c r="T535" s="12"/>
      <c r="U535" s="10" t="str">
        <f>HYPERLINK("https://pbs.twimg.com/profile_images/2724784749/b235fb9539f774627056fbfdf235704f.jpeg","View")</f>
        <v>View</v>
      </c>
    </row>
    <row r="536" spans="1:21" ht="30.6">
      <c r="A536" s="6">
        <v>43426.604710648149</v>
      </c>
      <c r="B536" s="7" t="str">
        <f>HYPERLINK("https://twitter.com/nomemandescall3","@nomemandescall3")</f>
        <v>@nomemandescall3</v>
      </c>
      <c r="C536" s="8" t="s">
        <v>3068</v>
      </c>
      <c r="D536" s="9" t="s">
        <v>2985</v>
      </c>
      <c r="E536" s="10" t="str">
        <f>HYPERLINK("https://twitter.com/nomemandescall3/status/1065598470969573376","1065598470969573376")</f>
        <v>1065598470969573376</v>
      </c>
      <c r="F536" s="11" t="s">
        <v>2206</v>
      </c>
      <c r="G536" s="12"/>
      <c r="H536" s="12"/>
      <c r="I536" s="13">
        <v>0</v>
      </c>
      <c r="J536" s="13">
        <v>0</v>
      </c>
      <c r="K536" s="14" t="str">
        <f>HYPERLINK("http://twitter.com/download/iphone","Twitter for iPhone")</f>
        <v>Twitter for iPhone</v>
      </c>
      <c r="L536" s="13">
        <v>165</v>
      </c>
      <c r="M536" s="13">
        <v>215</v>
      </c>
      <c r="N536" s="13">
        <v>0</v>
      </c>
      <c r="O536" s="15"/>
      <c r="P536" s="6">
        <v>43284.758842592593</v>
      </c>
      <c r="Q536" s="16" t="s">
        <v>207</v>
      </c>
      <c r="R536" s="17" t="s">
        <v>3072</v>
      </c>
      <c r="S536" s="12"/>
      <c r="T536" s="12"/>
      <c r="U536" s="10" t="str">
        <f>HYPERLINK("https://pbs.twimg.com/profile_images/1065664208388456458/ySf0syG8.jpg","View")</f>
        <v>View</v>
      </c>
    </row>
    <row r="537" spans="1:21" ht="30.6">
      <c r="A537" s="6">
        <v>43426.604618055557</v>
      </c>
      <c r="B537" s="7" t="str">
        <f>HYPERLINK("https://twitter.com/MarisaVargas_R","@MarisaVargas_R")</f>
        <v>@MarisaVargas_R</v>
      </c>
      <c r="C537" s="8" t="s">
        <v>3075</v>
      </c>
      <c r="D537" s="9" t="s">
        <v>3076</v>
      </c>
      <c r="E537" s="10" t="str">
        <f>HYPERLINK("https://twitter.com/MarisaVargas_R/status/1065598434894319617","1065598434894319617")</f>
        <v>1065598434894319617</v>
      </c>
      <c r="F537" s="11" t="s">
        <v>635</v>
      </c>
      <c r="G537" s="12"/>
      <c r="H537" s="12"/>
      <c r="I537" s="13">
        <v>1</v>
      </c>
      <c r="J537" s="13">
        <v>3</v>
      </c>
      <c r="K537" s="14" t="str">
        <f>HYPERLINK("http://twitter.com/download/android","Twitter for Android")</f>
        <v>Twitter for Android</v>
      </c>
      <c r="L537" s="13">
        <v>9387</v>
      </c>
      <c r="M537" s="13">
        <v>9193</v>
      </c>
      <c r="N537" s="13">
        <v>159</v>
      </c>
      <c r="O537" s="15"/>
      <c r="P537" s="6">
        <v>40624.802627314813</v>
      </c>
      <c r="Q537" s="16" t="s">
        <v>3079</v>
      </c>
      <c r="R537" s="17" t="s">
        <v>3080</v>
      </c>
      <c r="S537" s="12"/>
      <c r="T537" s="12"/>
      <c r="U537" s="10" t="str">
        <f>HYPERLINK("https://pbs.twimg.com/profile_images/789471807682256896/cuEOEHIr.jpg","View")</f>
        <v>View</v>
      </c>
    </row>
    <row r="538" spans="1:21" ht="30.6">
      <c r="A538" s="6">
        <v>43426.604166666672</v>
      </c>
      <c r="B538" s="7" t="str">
        <f>HYPERLINK("https://twitter.com/laSextaTV","@laSextaTV")</f>
        <v>@laSextaTV</v>
      </c>
      <c r="C538" s="8" t="s">
        <v>3083</v>
      </c>
      <c r="D538" s="9" t="s">
        <v>3085</v>
      </c>
      <c r="E538" s="10" t="str">
        <f>HYPERLINK("https://twitter.com/laSextaTV/status/1065598270502780929","1065598270502780929")</f>
        <v>1065598270502780929</v>
      </c>
      <c r="F538" s="11" t="s">
        <v>3088</v>
      </c>
      <c r="G538" s="12"/>
      <c r="H538" s="12"/>
      <c r="I538" s="13">
        <v>3</v>
      </c>
      <c r="J538" s="13">
        <v>4</v>
      </c>
      <c r="K538" s="14" t="str">
        <f>HYPERLINK("http://dogtrack.es","DogTrack_Oficial")</f>
        <v>DogTrack_Oficial</v>
      </c>
      <c r="L538" s="13">
        <v>912520</v>
      </c>
      <c r="M538" s="13">
        <v>304</v>
      </c>
      <c r="N538" s="13">
        <v>5843</v>
      </c>
      <c r="O538" s="18" t="s">
        <v>36</v>
      </c>
      <c r="P538" s="6">
        <v>39877.804710648146</v>
      </c>
      <c r="Q538" s="16" t="s">
        <v>1923</v>
      </c>
      <c r="R538" s="17" t="s">
        <v>3090</v>
      </c>
      <c r="S538" s="11" t="s">
        <v>3091</v>
      </c>
      <c r="T538" s="12"/>
      <c r="U538" s="10" t="str">
        <f>HYPERLINK("https://pbs.twimg.com/profile_images/898966361426231296/0sS0RzFh.jpg","View")</f>
        <v>View</v>
      </c>
    </row>
    <row r="539" spans="1:21" ht="40.799999999999997">
      <c r="A539" s="6">
        <v>43426.604131944448</v>
      </c>
      <c r="B539" s="7" t="str">
        <f>HYPERLINK("https://twitter.com/ahijadojj","@ahijadojj")</f>
        <v>@ahijadojj</v>
      </c>
      <c r="C539" s="8" t="s">
        <v>3095</v>
      </c>
      <c r="D539" s="9" t="s">
        <v>2985</v>
      </c>
      <c r="E539" s="10" t="str">
        <f>HYPERLINK("https://twitter.com/ahijadojj/status/1065598257185861635","1065598257185861635")</f>
        <v>1065598257185861635</v>
      </c>
      <c r="F539" s="11" t="s">
        <v>2206</v>
      </c>
      <c r="G539" s="12"/>
      <c r="H539" s="12"/>
      <c r="I539" s="13">
        <v>0</v>
      </c>
      <c r="J539" s="13">
        <v>0</v>
      </c>
      <c r="K539" s="14" t="str">
        <f>HYPERLINK("http://twitter.com/download/iphone","Twitter for iPhone")</f>
        <v>Twitter for iPhone</v>
      </c>
      <c r="L539" s="13">
        <v>528</v>
      </c>
      <c r="M539" s="13">
        <v>1481</v>
      </c>
      <c r="N539" s="13">
        <v>24</v>
      </c>
      <c r="O539" s="15"/>
      <c r="P539" s="6">
        <v>41042.739537037036</v>
      </c>
      <c r="Q539" s="16" t="s">
        <v>3096</v>
      </c>
      <c r="R539" s="17" t="s">
        <v>3098</v>
      </c>
      <c r="S539" s="12"/>
      <c r="T539" s="12"/>
      <c r="U539" s="10" t="str">
        <f>HYPERLINK("https://pbs.twimg.com/profile_images/1045742611305295877/gF7atlvj.jpg","View")</f>
        <v>View</v>
      </c>
    </row>
    <row r="540" spans="1:21" ht="51">
      <c r="A540" s="6">
        <v>43426.604097222225</v>
      </c>
      <c r="B540" s="7" t="str">
        <f>HYPERLINK("https://twitter.com/XiphosFlow","@XiphosFlow")</f>
        <v>@XiphosFlow</v>
      </c>
      <c r="C540" s="8" t="s">
        <v>1411</v>
      </c>
      <c r="D540" s="9" t="s">
        <v>1413</v>
      </c>
      <c r="E540" s="10" t="str">
        <f>HYPERLINK("https://twitter.com/XiphosFlow/status/1065598246226223104","1065598246226223104")</f>
        <v>1065598246226223104</v>
      </c>
      <c r="F540" s="12"/>
      <c r="G540" s="12"/>
      <c r="H540" s="12"/>
      <c r="I540" s="13">
        <v>0</v>
      </c>
      <c r="J540" s="13">
        <v>0</v>
      </c>
      <c r="K540" s="14" t="str">
        <f t="shared" ref="K540:K542" si="107">HYPERLINK("http://twitter.com/download/android","Twitter for Android")</f>
        <v>Twitter for Android</v>
      </c>
      <c r="L540" s="13">
        <v>130</v>
      </c>
      <c r="M540" s="13">
        <v>223</v>
      </c>
      <c r="N540" s="13">
        <v>0</v>
      </c>
      <c r="O540" s="15"/>
      <c r="P540" s="6">
        <v>40549.136261574073</v>
      </c>
      <c r="Q540" s="16" t="s">
        <v>1415</v>
      </c>
      <c r="R540" s="17" t="s">
        <v>1416</v>
      </c>
      <c r="S540" s="12"/>
      <c r="T540" s="12"/>
      <c r="U540" s="10" t="str">
        <f>HYPERLINK("https://pbs.twimg.com/profile_images/1047225272435654656/WRIQuMvG.jpg","View")</f>
        <v>View</v>
      </c>
    </row>
    <row r="541" spans="1:21" ht="30.6">
      <c r="A541" s="6">
        <v>43426.603865740741</v>
      </c>
      <c r="B541" s="7" t="str">
        <f>HYPERLINK("https://twitter.com/Cesar_Cabo","@Cesar_Cabo")</f>
        <v>@Cesar_Cabo</v>
      </c>
      <c r="C541" s="8" t="s">
        <v>3103</v>
      </c>
      <c r="D541" s="9" t="s">
        <v>3104</v>
      </c>
      <c r="E541" s="10" t="str">
        <f>HYPERLINK("https://twitter.com/Cesar_Cabo/status/1065598164625956864","1065598164625956864")</f>
        <v>1065598164625956864</v>
      </c>
      <c r="F541" s="11" t="s">
        <v>635</v>
      </c>
      <c r="G541" s="12"/>
      <c r="H541" s="12"/>
      <c r="I541" s="13">
        <v>1</v>
      </c>
      <c r="J541" s="13">
        <v>2</v>
      </c>
      <c r="K541" s="14" t="str">
        <f t="shared" si="107"/>
        <v>Twitter for Android</v>
      </c>
      <c r="L541" s="13">
        <v>21086</v>
      </c>
      <c r="M541" s="13">
        <v>838</v>
      </c>
      <c r="N541" s="13">
        <v>531</v>
      </c>
      <c r="O541" s="15"/>
      <c r="P541" s="6">
        <v>40306.623807870368</v>
      </c>
      <c r="Q541" s="16" t="s">
        <v>3108</v>
      </c>
      <c r="R541" s="17" t="s">
        <v>3109</v>
      </c>
      <c r="S541" s="11" t="s">
        <v>3110</v>
      </c>
      <c r="T541" s="12"/>
      <c r="U541" s="10" t="str">
        <f>HYPERLINK("https://pbs.twimg.com/profile_images/773401263774003200/CE1BIb-G.jpg","View")</f>
        <v>View</v>
      </c>
    </row>
    <row r="542" spans="1:21" ht="71.400000000000006">
      <c r="A542" s="6">
        <v>43426.603854166664</v>
      </c>
      <c r="B542" s="7" t="str">
        <f>HYPERLINK("https://twitter.com/joanmiquelm4","@joanmiquelm4")</f>
        <v>@joanmiquelm4</v>
      </c>
      <c r="C542" s="8" t="s">
        <v>1370</v>
      </c>
      <c r="D542" s="9" t="s">
        <v>1418</v>
      </c>
      <c r="E542" s="10" t="str">
        <f>HYPERLINK("https://twitter.com/joanmiquelm4/status/1065598157269200898","1065598157269200898")</f>
        <v>1065598157269200898</v>
      </c>
      <c r="F542" s="16" t="s">
        <v>1421</v>
      </c>
      <c r="G542" s="12"/>
      <c r="H542" s="12"/>
      <c r="I542" s="13">
        <v>0</v>
      </c>
      <c r="J542" s="13">
        <v>0</v>
      </c>
      <c r="K542" s="14" t="str">
        <f t="shared" si="107"/>
        <v>Twitter for Android</v>
      </c>
      <c r="L542" s="13">
        <v>186</v>
      </c>
      <c r="M542" s="13">
        <v>250</v>
      </c>
      <c r="N542" s="13">
        <v>22</v>
      </c>
      <c r="O542" s="15"/>
      <c r="P542" s="6">
        <v>41963.710092592592</v>
      </c>
      <c r="Q542" s="12"/>
      <c r="R542" s="17" t="s">
        <v>1373</v>
      </c>
      <c r="S542" s="12"/>
      <c r="T542" s="12"/>
      <c r="U542" s="10" t="str">
        <f>HYPERLINK("https://pbs.twimg.com/profile_images/535464079948017666/sd81e-bA.jpeg","View")</f>
        <v>View</v>
      </c>
    </row>
    <row r="543" spans="1:21" ht="51">
      <c r="A543" s="6">
        <v>43426.602743055555</v>
      </c>
      <c r="B543" s="7" t="str">
        <f>HYPERLINK("https://twitter.com/CiudadanosCs","@CiudadanosCs")</f>
        <v>@CiudadanosCs</v>
      </c>
      <c r="C543" s="8" t="s">
        <v>196</v>
      </c>
      <c r="D543" s="9" t="s">
        <v>1425</v>
      </c>
      <c r="E543" s="10" t="str">
        <f>HYPERLINK("https://twitter.com/CiudadanosCs/status/1065597757673652229","1065597757673652229")</f>
        <v>1065597757673652229</v>
      </c>
      <c r="F543" s="12"/>
      <c r="G543" s="11" t="s">
        <v>1381</v>
      </c>
      <c r="H543" s="12"/>
      <c r="I543" s="13">
        <v>194</v>
      </c>
      <c r="J543" s="13">
        <v>328</v>
      </c>
      <c r="K543" s="14" t="str">
        <f>HYPERLINK("https://studio.twitter.com","Media Studio")</f>
        <v>Media Studio</v>
      </c>
      <c r="L543" s="13">
        <v>486503</v>
      </c>
      <c r="M543" s="13">
        <v>93653</v>
      </c>
      <c r="N543" s="13">
        <v>3318</v>
      </c>
      <c r="O543" s="18" t="s">
        <v>36</v>
      </c>
      <c r="P543" s="6">
        <v>39828.753460648149</v>
      </c>
      <c r="Q543" s="16" t="s">
        <v>37</v>
      </c>
      <c r="R543" s="17" t="s">
        <v>202</v>
      </c>
      <c r="S543" s="11" t="s">
        <v>203</v>
      </c>
      <c r="T543" s="12"/>
      <c r="U543" s="10" t="str">
        <f>HYPERLINK("https://pbs.twimg.com/profile_images/1053554096161075200/1z77_zBZ.jpg","View")</f>
        <v>View</v>
      </c>
    </row>
    <row r="544" spans="1:21" ht="51">
      <c r="A544" s="6">
        <v>43426.601527777777</v>
      </c>
      <c r="B544" s="7" t="str">
        <f>HYPERLINK("https://twitter.com/nachoprendes","@nachoprendes")</f>
        <v>@nachoprendes</v>
      </c>
      <c r="C544" s="8" t="s">
        <v>3123</v>
      </c>
      <c r="D544" s="9" t="s">
        <v>3124</v>
      </c>
      <c r="E544" s="10" t="str">
        <f>HYPERLINK("https://twitter.com/nachoprendes/status/1065597315929522177","1065597315929522177")</f>
        <v>1065597315929522177</v>
      </c>
      <c r="F544" s="11" t="s">
        <v>3127</v>
      </c>
      <c r="G544" s="12"/>
      <c r="H544" s="12"/>
      <c r="I544" s="13">
        <v>9</v>
      </c>
      <c r="J544" s="13">
        <v>20</v>
      </c>
      <c r="K544" s="14" t="str">
        <f>HYPERLINK("http://twitter.com/download/iphone","Twitter for iPhone")</f>
        <v>Twitter for iPhone</v>
      </c>
      <c r="L544" s="13">
        <v>6934</v>
      </c>
      <c r="M544" s="13">
        <v>851</v>
      </c>
      <c r="N544" s="13">
        <v>205</v>
      </c>
      <c r="O544" s="18" t="s">
        <v>36</v>
      </c>
      <c r="P544" s="6">
        <v>40624.967951388891</v>
      </c>
      <c r="Q544" s="16" t="s">
        <v>3129</v>
      </c>
      <c r="R544" s="17" t="s">
        <v>3131</v>
      </c>
      <c r="S544" s="11" t="s">
        <v>1880</v>
      </c>
      <c r="T544" s="12"/>
      <c r="U544" s="10" t="str">
        <f>HYPERLINK("https://pbs.twimg.com/profile_images/969260677222273024/E-aqv_PP.jpg","View")</f>
        <v>View</v>
      </c>
    </row>
    <row r="545" spans="1:21" ht="102">
      <c r="A545" s="6">
        <v>43426.601342592592</v>
      </c>
      <c r="B545" s="7" t="str">
        <f>HYPERLINK("https://twitter.com/RuthIliana46","@RuthIliana46")</f>
        <v>@RuthIliana46</v>
      </c>
      <c r="C545" s="8" t="s">
        <v>437</v>
      </c>
      <c r="D545" s="9" t="s">
        <v>1429</v>
      </c>
      <c r="E545" s="10" t="str">
        <f>HYPERLINK("https://twitter.com/RuthIliana46/status/1065597247960821761","1065597247960821761")</f>
        <v>1065597247960821761</v>
      </c>
      <c r="F545" s="16" t="s">
        <v>1431</v>
      </c>
      <c r="G545" s="12"/>
      <c r="H545" s="12"/>
      <c r="I545" s="13">
        <v>6</v>
      </c>
      <c r="J545" s="13">
        <v>6</v>
      </c>
      <c r="K545" s="14" t="str">
        <f>HYPERLINK("http://twitter.com/download/android","Twitter for Android")</f>
        <v>Twitter for Android</v>
      </c>
      <c r="L545" s="13">
        <v>4287</v>
      </c>
      <c r="M545" s="13">
        <v>4178</v>
      </c>
      <c r="N545" s="13">
        <v>483</v>
      </c>
      <c r="O545" s="15"/>
      <c r="P545" s="6">
        <v>41235.80333333333</v>
      </c>
      <c r="Q545" s="16" t="s">
        <v>440</v>
      </c>
      <c r="R545" s="17" t="s">
        <v>441</v>
      </c>
      <c r="S545" s="11" t="s">
        <v>442</v>
      </c>
      <c r="T545" s="12"/>
      <c r="U545" s="10" t="str">
        <f>HYPERLINK("https://pbs.twimg.com/profile_images/976118533162721287/GaSph7A7.jpg","View")</f>
        <v>View</v>
      </c>
    </row>
    <row r="546" spans="1:21" ht="20.399999999999999">
      <c r="A546" s="6">
        <v>43426.600277777776</v>
      </c>
      <c r="B546" s="7" t="str">
        <f>HYPERLINK("https://twitter.com/emobender","@emobender")</f>
        <v>@emobender</v>
      </c>
      <c r="C546" s="8" t="s">
        <v>3138</v>
      </c>
      <c r="D546" s="9" t="s">
        <v>3140</v>
      </c>
      <c r="E546" s="10" t="str">
        <f>HYPERLINK("https://twitter.com/emobender/status/1065596862198136833","1065596862198136833")</f>
        <v>1065596862198136833</v>
      </c>
      <c r="F546" s="11" t="s">
        <v>3141</v>
      </c>
      <c r="G546" s="12"/>
      <c r="H546" s="12"/>
      <c r="I546" s="13">
        <v>0</v>
      </c>
      <c r="J546" s="13">
        <v>0</v>
      </c>
      <c r="K546" s="14" t="str">
        <f>HYPERLINK("https://curiouscat.me","Curious Cat")</f>
        <v>Curious Cat</v>
      </c>
      <c r="L546" s="13">
        <v>208</v>
      </c>
      <c r="M546" s="13">
        <v>332</v>
      </c>
      <c r="N546" s="13">
        <v>4</v>
      </c>
      <c r="O546" s="15"/>
      <c r="P546" s="6">
        <v>42588.84239583333</v>
      </c>
      <c r="Q546" s="16" t="s">
        <v>3142</v>
      </c>
      <c r="R546" s="17" t="s">
        <v>3143</v>
      </c>
      <c r="S546" s="12"/>
      <c r="T546" s="12"/>
      <c r="U546" s="10" t="str">
        <f>HYPERLINK("https://pbs.twimg.com/profile_images/1046458168312770561/v2uLznKu.jpg","View")</f>
        <v>View</v>
      </c>
    </row>
    <row r="547" spans="1:21" ht="40.799999999999997">
      <c r="A547" s="6">
        <v>43426.597685185188</v>
      </c>
      <c r="B547" s="7" t="str">
        <f>HYPERLINK("https://twitter.com/mlladonet10","@mlladonet10")</f>
        <v>@mlladonet10</v>
      </c>
      <c r="C547" s="8" t="s">
        <v>3146</v>
      </c>
      <c r="D547" s="9" t="s">
        <v>3147</v>
      </c>
      <c r="E547" s="10" t="str">
        <f>HYPERLINK("https://twitter.com/mlladonet10/status/1065595921138884608","1065595921138884608")</f>
        <v>1065595921138884608</v>
      </c>
      <c r="F547" s="12"/>
      <c r="G547" s="12"/>
      <c r="H547" s="12"/>
      <c r="I547" s="13">
        <v>0</v>
      </c>
      <c r="J547" s="13">
        <v>0</v>
      </c>
      <c r="K547" s="14" t="str">
        <f>HYPERLINK("http://twitter.com/download/android","Twitter for Android")</f>
        <v>Twitter for Android</v>
      </c>
      <c r="L547" s="13">
        <v>314</v>
      </c>
      <c r="M547" s="13">
        <v>425</v>
      </c>
      <c r="N547" s="13">
        <v>9</v>
      </c>
      <c r="O547" s="15"/>
      <c r="P547" s="6">
        <v>40475.065659722226</v>
      </c>
      <c r="Q547" s="16" t="s">
        <v>3148</v>
      </c>
      <c r="R547" s="17" t="s">
        <v>3149</v>
      </c>
      <c r="S547" s="11" t="s">
        <v>3150</v>
      </c>
      <c r="T547" s="12"/>
      <c r="U547" s="10" t="str">
        <f>HYPERLINK("https://pbs.twimg.com/profile_images/1055126244931584003/yZE8KrHT.jpg","View")</f>
        <v>View</v>
      </c>
    </row>
    <row r="548" spans="1:21" ht="30.6">
      <c r="A548" s="6">
        <v>43426.597349537042</v>
      </c>
      <c r="B548" s="7" t="str">
        <f>HYPERLINK("https://twitter.com/crocensurado","@crocensurado")</f>
        <v>@crocensurado</v>
      </c>
      <c r="C548" s="8" t="s">
        <v>3152</v>
      </c>
      <c r="D548" s="9" t="s">
        <v>3153</v>
      </c>
      <c r="E548" s="10" t="str">
        <f>HYPERLINK("https://twitter.com/crocensurado/status/1065595801550946304","1065595801550946304")</f>
        <v>1065595801550946304</v>
      </c>
      <c r="F548" s="12"/>
      <c r="G548" s="12"/>
      <c r="H548" s="12"/>
      <c r="I548" s="13">
        <v>1</v>
      </c>
      <c r="J548" s="13">
        <v>18</v>
      </c>
      <c r="K548" s="14" t="str">
        <f>HYPERLINK("https://about.twitter.com/products/tweetdeck","TweetDeck")</f>
        <v>TweetDeck</v>
      </c>
      <c r="L548" s="13">
        <v>3477</v>
      </c>
      <c r="M548" s="13">
        <v>339</v>
      </c>
      <c r="N548" s="13">
        <v>8</v>
      </c>
      <c r="O548" s="15"/>
      <c r="P548" s="6">
        <v>43123.00844907407</v>
      </c>
      <c r="Q548" s="12"/>
      <c r="R548" s="17" t="s">
        <v>3154</v>
      </c>
      <c r="S548" s="11" t="s">
        <v>3155</v>
      </c>
      <c r="T548" s="12"/>
      <c r="U548" s="10" t="str">
        <f>HYPERLINK("https://pbs.twimg.com/profile_images/1032454807192301568/Fhub5dlL.jpg","View")</f>
        <v>View</v>
      </c>
    </row>
    <row r="549" spans="1:21" ht="40.799999999999997">
      <c r="A549" s="6">
        <v>43426.596851851849</v>
      </c>
      <c r="B549" s="7" t="str">
        <f>HYPERLINK("https://twitter.com/JoanComorera1","@JoanComorera1")</f>
        <v>@JoanComorera1</v>
      </c>
      <c r="C549" s="8" t="s">
        <v>3159</v>
      </c>
      <c r="D549" s="9" t="s">
        <v>3160</v>
      </c>
      <c r="E549" s="10" t="str">
        <f>HYPERLINK("https://twitter.com/JoanComorera1/status/1065595619937591296","1065595619937591296")</f>
        <v>1065595619937591296</v>
      </c>
      <c r="F549" s="11" t="s">
        <v>1388</v>
      </c>
      <c r="G549" s="12"/>
      <c r="H549" s="12"/>
      <c r="I549" s="13">
        <v>1</v>
      </c>
      <c r="J549" s="13">
        <v>3</v>
      </c>
      <c r="K549" s="14" t="str">
        <f>HYPERLINK("http://twitter.com","Twitter Web Client")</f>
        <v>Twitter Web Client</v>
      </c>
      <c r="L549" s="13">
        <v>5507</v>
      </c>
      <c r="M549" s="13">
        <v>2848</v>
      </c>
      <c r="N549" s="13">
        <v>124</v>
      </c>
      <c r="O549" s="18" t="s">
        <v>36</v>
      </c>
      <c r="P549" s="6">
        <v>40654.521932870368</v>
      </c>
      <c r="Q549" s="16" t="s">
        <v>3163</v>
      </c>
      <c r="R549" s="17" t="s">
        <v>3164</v>
      </c>
      <c r="S549" s="11" t="s">
        <v>3165</v>
      </c>
      <c r="T549" s="12"/>
      <c r="U549" s="10" t="str">
        <f>HYPERLINK("https://pbs.twimg.com/profile_images/875638482827214852/z2P3XVeE.jpg","View")</f>
        <v>View</v>
      </c>
    </row>
    <row r="550" spans="1:21" ht="30.6">
      <c r="A550" s="6">
        <v>43426.594224537039</v>
      </c>
      <c r="B550" s="7" t="str">
        <f>HYPERLINK("https://twitter.com/amarlos71","@amarlos71")</f>
        <v>@amarlos71</v>
      </c>
      <c r="C550" s="8" t="s">
        <v>3168</v>
      </c>
      <c r="D550" s="9" t="s">
        <v>632</v>
      </c>
      <c r="E550" s="10" t="str">
        <f>HYPERLINK("https://twitter.com/amarlos71/status/1065594668916895745","1065594668916895745")</f>
        <v>1065594668916895745</v>
      </c>
      <c r="F550" s="11" t="s">
        <v>635</v>
      </c>
      <c r="G550" s="12"/>
      <c r="H550" s="12"/>
      <c r="I550" s="13">
        <v>14</v>
      </c>
      <c r="J550" s="13">
        <v>20</v>
      </c>
      <c r="K550" s="14" t="str">
        <f>HYPERLINK("http://twitter.com/download/iphone","Twitter for iPhone")</f>
        <v>Twitter for iPhone</v>
      </c>
      <c r="L550" s="13">
        <v>2078</v>
      </c>
      <c r="M550" s="13">
        <v>2050</v>
      </c>
      <c r="N550" s="13">
        <v>29</v>
      </c>
      <c r="O550" s="15"/>
      <c r="P550" s="6">
        <v>41350.86341435185</v>
      </c>
      <c r="Q550" s="16" t="s">
        <v>3172</v>
      </c>
      <c r="R550" s="17" t="s">
        <v>3173</v>
      </c>
      <c r="S550" s="12"/>
      <c r="T550" s="12"/>
      <c r="U550" s="10" t="str">
        <f>HYPERLINK("https://pbs.twimg.com/profile_images/1036210183578509312/5zL3_N0I.jpg","View")</f>
        <v>View</v>
      </c>
    </row>
    <row r="551" spans="1:21" ht="102">
      <c r="A551" s="6">
        <v>43426.593495370369</v>
      </c>
      <c r="B551" s="7" t="str">
        <f>HYPERLINK("https://twitter.com/RuthIliana46","@RuthIliana46")</f>
        <v>@RuthIliana46</v>
      </c>
      <c r="C551" s="8" t="s">
        <v>437</v>
      </c>
      <c r="D551" s="9" t="s">
        <v>1436</v>
      </c>
      <c r="E551" s="10" t="str">
        <f>HYPERLINK("https://twitter.com/RuthIliana46/status/1065594403820048384","1065594403820048384")</f>
        <v>1065594403820048384</v>
      </c>
      <c r="F551" s="16" t="s">
        <v>1438</v>
      </c>
      <c r="G551" s="12"/>
      <c r="H551" s="12"/>
      <c r="I551" s="13">
        <v>6</v>
      </c>
      <c r="J551" s="13">
        <v>6</v>
      </c>
      <c r="K551" s="14" t="str">
        <f>HYPERLINK("http://twitter.com/download/android","Twitter for Android")</f>
        <v>Twitter for Android</v>
      </c>
      <c r="L551" s="13">
        <v>4287</v>
      </c>
      <c r="M551" s="13">
        <v>4178</v>
      </c>
      <c r="N551" s="13">
        <v>483</v>
      </c>
      <c r="O551" s="15"/>
      <c r="P551" s="6">
        <v>41235.80333333333</v>
      </c>
      <c r="Q551" s="16" t="s">
        <v>440</v>
      </c>
      <c r="R551" s="17" t="s">
        <v>441</v>
      </c>
      <c r="S551" s="11" t="s">
        <v>442</v>
      </c>
      <c r="T551" s="12"/>
      <c r="U551" s="10" t="str">
        <f>HYPERLINK("https://pbs.twimg.com/profile_images/976118533162721287/GaSph7A7.jpg","View")</f>
        <v>View</v>
      </c>
    </row>
    <row r="552" spans="1:21" ht="20.399999999999999">
      <c r="A552" s="6">
        <v>43426.593402777777</v>
      </c>
      <c r="B552" s="7" t="str">
        <f>HYPERLINK("https://twitter.com/All3erTwitts","@All3erTwitts")</f>
        <v>@All3erTwitts</v>
      </c>
      <c r="C552" s="8" t="s">
        <v>3177</v>
      </c>
      <c r="D552" s="9" t="s">
        <v>3178</v>
      </c>
      <c r="E552" s="10" t="str">
        <f>HYPERLINK("https://twitter.com/All3erTwitts/status/1065594369242292224","1065594369242292224")</f>
        <v>1065594369242292224</v>
      </c>
      <c r="F552" s="12"/>
      <c r="G552" s="12"/>
      <c r="H552" s="12"/>
      <c r="I552" s="13">
        <v>0</v>
      </c>
      <c r="J552" s="13">
        <v>0</v>
      </c>
      <c r="K552" s="14" t="str">
        <f>HYPERLINK("http://twitter.com/#!/download/ipad","Twitter for iPad")</f>
        <v>Twitter for iPad</v>
      </c>
      <c r="L552" s="13">
        <v>1748</v>
      </c>
      <c r="M552" s="13">
        <v>791</v>
      </c>
      <c r="N552" s="13">
        <v>27</v>
      </c>
      <c r="O552" s="15"/>
      <c r="P552" s="6">
        <v>41532.887696759259</v>
      </c>
      <c r="Q552" s="12"/>
      <c r="R552" s="19"/>
      <c r="S552" s="12"/>
      <c r="T552" s="12"/>
      <c r="U552" s="10" t="str">
        <f>HYPERLINK("https://pbs.twimg.com/profile_images/1065594959192047616/pNoa3svX.jpg","View")</f>
        <v>View</v>
      </c>
    </row>
    <row r="553" spans="1:21" ht="30.6">
      <c r="A553" s="6">
        <v>43426.592719907407</v>
      </c>
      <c r="B553" s="7" t="str">
        <f>HYPERLINK("https://twitter.com/libra14625394","@libra14625394")</f>
        <v>@libra14625394</v>
      </c>
      <c r="C553" s="8" t="s">
        <v>3182</v>
      </c>
      <c r="D553" s="9" t="s">
        <v>3183</v>
      </c>
      <c r="E553" s="10" t="str">
        <f>HYPERLINK("https://twitter.com/libra14625394/status/1065594123514712065","1065594123514712065")</f>
        <v>1065594123514712065</v>
      </c>
      <c r="F553" s="12"/>
      <c r="G553" s="12"/>
      <c r="H553" s="12"/>
      <c r="I553" s="13">
        <v>0</v>
      </c>
      <c r="J553" s="13">
        <v>0</v>
      </c>
      <c r="K553" s="14" t="str">
        <f>HYPERLINK("http://twitter.com/download/android","Twitter for Android")</f>
        <v>Twitter for Android</v>
      </c>
      <c r="L553" s="13">
        <v>131</v>
      </c>
      <c r="M553" s="13">
        <v>226</v>
      </c>
      <c r="N553" s="13">
        <v>2</v>
      </c>
      <c r="O553" s="15"/>
      <c r="P553" s="6">
        <v>41116.141365740739</v>
      </c>
      <c r="Q553" s="12"/>
      <c r="R553" s="17" t="s">
        <v>3185</v>
      </c>
      <c r="S553" s="12"/>
      <c r="T553" s="12"/>
      <c r="U553" s="10" t="str">
        <f>HYPERLINK("https://pbs.twimg.com/profile_images/699283090020110337/WDtRAmEs.jpg","View")</f>
        <v>View</v>
      </c>
    </row>
    <row r="554" spans="1:21" ht="30.6">
      <c r="A554" s="6">
        <v>43426.592106481483</v>
      </c>
      <c r="B554" s="7" t="str">
        <f>HYPERLINK("https://twitter.com/eppolitica_cas","@eppolitica_cas")</f>
        <v>@eppolitica_cas</v>
      </c>
      <c r="C554" s="8" t="s">
        <v>3188</v>
      </c>
      <c r="D554" s="9" t="s">
        <v>2830</v>
      </c>
      <c r="E554" s="10" t="str">
        <f>HYPERLINK("https://twitter.com/eppolitica_cas/status/1065593899270459392","1065593899270459392")</f>
        <v>1065593899270459392</v>
      </c>
      <c r="F554" s="11" t="s">
        <v>3189</v>
      </c>
      <c r="G554" s="12"/>
      <c r="H554" s="12"/>
      <c r="I554" s="13">
        <v>0</v>
      </c>
      <c r="J554" s="13">
        <v>0</v>
      </c>
      <c r="K554" s="14" t="str">
        <f>HYPERLINK("http://dogtrack.es","DogTrack_Oficial")</f>
        <v>DogTrack_Oficial</v>
      </c>
      <c r="L554" s="13">
        <v>2176</v>
      </c>
      <c r="M554" s="13">
        <v>417</v>
      </c>
      <c r="N554" s="13">
        <v>94</v>
      </c>
      <c r="O554" s="15"/>
      <c r="P554" s="6">
        <v>40865.720717592594</v>
      </c>
      <c r="Q554" s="16" t="s">
        <v>75</v>
      </c>
      <c r="R554" s="17" t="s">
        <v>3191</v>
      </c>
      <c r="S554" s="11" t="s">
        <v>3192</v>
      </c>
      <c r="T554" s="12"/>
      <c r="U554" s="10" t="str">
        <f>HYPERLINK("https://pbs.twimg.com/profile_images/875759451344691201/7oHgCmMx.jpg","View")</f>
        <v>View</v>
      </c>
    </row>
    <row r="555" spans="1:21" ht="40.799999999999997">
      <c r="A555" s="6">
        <v>43426.590601851851</v>
      </c>
      <c r="B555" s="7" t="str">
        <f>HYPERLINK("https://twitter.com/jsigonzalez112","@jsigonzalez112")</f>
        <v>@jsigonzalez112</v>
      </c>
      <c r="C555" s="8" t="s">
        <v>3195</v>
      </c>
      <c r="D555" s="9" t="s">
        <v>3198</v>
      </c>
      <c r="E555" s="10" t="str">
        <f>HYPERLINK("https://twitter.com/jsigonzalez112/status/1065593356338819073","1065593356338819073")</f>
        <v>1065593356338819073</v>
      </c>
      <c r="F555" s="11" t="s">
        <v>635</v>
      </c>
      <c r="G555" s="12"/>
      <c r="H555" s="12"/>
      <c r="I555" s="13">
        <v>0</v>
      </c>
      <c r="J555" s="13">
        <v>0</v>
      </c>
      <c r="K555" s="14" t="str">
        <f>HYPERLINK("http://twitter.com/download/android","Twitter for Android")</f>
        <v>Twitter for Android</v>
      </c>
      <c r="L555" s="13">
        <v>45</v>
      </c>
      <c r="M555" s="13">
        <v>82</v>
      </c>
      <c r="N555" s="13">
        <v>8</v>
      </c>
      <c r="O555" s="15"/>
      <c r="P555" s="6">
        <v>42476.754444444443</v>
      </c>
      <c r="Q555" s="12"/>
      <c r="R555" s="17" t="s">
        <v>3200</v>
      </c>
      <c r="S555" s="12"/>
      <c r="T555" s="12"/>
      <c r="U555" s="10" t="str">
        <f>HYPERLINK("https://pbs.twimg.com/profile_images/723118679098044416/Lf7QzuLr.jpg","View")</f>
        <v>View</v>
      </c>
    </row>
    <row r="556" spans="1:21" ht="122.4">
      <c r="A556" s="6">
        <v>43426.590601851851</v>
      </c>
      <c r="B556" s="7" t="str">
        <f>HYPERLINK("https://twitter.com/stupidnewsmart1","@stupidnewsmart1")</f>
        <v>@stupidnewsmart1</v>
      </c>
      <c r="C556" s="8" t="s">
        <v>1441</v>
      </c>
      <c r="D556" s="9" t="s">
        <v>1442</v>
      </c>
      <c r="E556" s="10" t="str">
        <f>HYPERLINK("https://twitter.com/stupidnewsmart1/status/1065593355013447681","1065593355013447681")</f>
        <v>1065593355013447681</v>
      </c>
      <c r="F556" s="11" t="s">
        <v>1443</v>
      </c>
      <c r="G556" s="12"/>
      <c r="H556" s="12"/>
      <c r="I556" s="13">
        <v>0</v>
      </c>
      <c r="J556" s="13">
        <v>1</v>
      </c>
      <c r="K556" s="14" t="str">
        <f>HYPERLINK("http://twitter.com","Twitter Web Client")</f>
        <v>Twitter Web Client</v>
      </c>
      <c r="L556" s="13">
        <v>30</v>
      </c>
      <c r="M556" s="13">
        <v>102</v>
      </c>
      <c r="N556" s="13">
        <v>0</v>
      </c>
      <c r="O556" s="15"/>
      <c r="P556" s="6">
        <v>43372.687430555554</v>
      </c>
      <c r="Q556" s="16" t="s">
        <v>1444</v>
      </c>
      <c r="R556" s="17" t="s">
        <v>1445</v>
      </c>
      <c r="S556" s="12"/>
      <c r="T556" s="12"/>
      <c r="U556" s="10" t="str">
        <f>HYPERLINK("https://pbs.twimg.com/profile_images/1048522972238155776/0EpfalLf.jpg","View")</f>
        <v>View</v>
      </c>
    </row>
    <row r="557" spans="1:21" ht="40.799999999999997">
      <c r="A557" s="6">
        <v>43426.589837962965</v>
      </c>
      <c r="B557" s="7" t="str">
        <f>HYPERLINK("https://twitter.com/compromtido22","@compromtido22")</f>
        <v>@compromtido22</v>
      </c>
      <c r="C557" s="8" t="s">
        <v>1719</v>
      </c>
      <c r="D557" s="9" t="s">
        <v>3204</v>
      </c>
      <c r="E557" s="10" t="str">
        <f>HYPERLINK("https://twitter.com/compromtido22/status/1065593079778996224","1065593079778996224")</f>
        <v>1065593079778996224</v>
      </c>
      <c r="F557" s="12"/>
      <c r="G557" s="12"/>
      <c r="H557" s="12"/>
      <c r="I557" s="13">
        <v>0</v>
      </c>
      <c r="J557" s="13">
        <v>0</v>
      </c>
      <c r="K557" s="14" t="str">
        <f t="shared" ref="K557:K561" si="108">HYPERLINK("http://twitter.com/download/android","Twitter for Android")</f>
        <v>Twitter for Android</v>
      </c>
      <c r="L557" s="13">
        <v>962</v>
      </c>
      <c r="M557" s="13">
        <v>859</v>
      </c>
      <c r="N557" s="13">
        <v>15</v>
      </c>
      <c r="O557" s="15"/>
      <c r="P557" s="6">
        <v>42411.832291666666</v>
      </c>
      <c r="Q557" s="12"/>
      <c r="R557" s="17" t="s">
        <v>1722</v>
      </c>
      <c r="S557" s="12"/>
      <c r="T557" s="12"/>
      <c r="U557" s="10" t="str">
        <f>HYPERLINK("https://pbs.twimg.com/profile_images/1062806370267860993/RfSkyzB-.jpg","View")</f>
        <v>View</v>
      </c>
    </row>
    <row r="558" spans="1:21" ht="40.799999999999997">
      <c r="A558" s="6">
        <v>43426.589016203703</v>
      </c>
      <c r="B558" s="7" t="str">
        <f>HYPERLINK("https://twitter.com/tonibfmv3457","@tonibfmv3457")</f>
        <v>@tonibfmv3457</v>
      </c>
      <c r="C558" s="8" t="s">
        <v>3211</v>
      </c>
      <c r="D558" s="9" t="s">
        <v>3213</v>
      </c>
      <c r="E558" s="10" t="str">
        <f>HYPERLINK("https://twitter.com/tonibfmv3457/status/1065592783417815041","1065592783417815041")</f>
        <v>1065592783417815041</v>
      </c>
      <c r="F558" s="12"/>
      <c r="G558" s="12"/>
      <c r="H558" s="12"/>
      <c r="I558" s="13">
        <v>0</v>
      </c>
      <c r="J558" s="13">
        <v>0</v>
      </c>
      <c r="K558" s="14" t="str">
        <f t="shared" si="108"/>
        <v>Twitter for Android</v>
      </c>
      <c r="L558" s="13">
        <v>58</v>
      </c>
      <c r="M558" s="13">
        <v>112</v>
      </c>
      <c r="N558" s="13">
        <v>0</v>
      </c>
      <c r="O558" s="15"/>
      <c r="P558" s="6">
        <v>41695.821608796294</v>
      </c>
      <c r="Q558" s="16" t="s">
        <v>3215</v>
      </c>
      <c r="R558" s="17" t="s">
        <v>3216</v>
      </c>
      <c r="S558" s="12"/>
      <c r="T558" s="12"/>
      <c r="U558" s="10" t="str">
        <f>HYPERLINK("https://pbs.twimg.com/profile_images/1054342784004567041/r_WIabbC.jpg","View")</f>
        <v>View</v>
      </c>
    </row>
    <row r="559" spans="1:21" ht="40.799999999999997">
      <c r="A559" s="6">
        <v>43426.588344907403</v>
      </c>
      <c r="B559" s="7" t="str">
        <f>HYPERLINK("https://twitter.com/Xuxatronnn","@Xuxatronnn")</f>
        <v>@Xuxatronnn</v>
      </c>
      <c r="C559" s="8" t="s">
        <v>3221</v>
      </c>
      <c r="D559" s="9" t="s">
        <v>3222</v>
      </c>
      <c r="E559" s="10" t="str">
        <f>HYPERLINK("https://twitter.com/Xuxatronnn/status/1065592537900072960","1065592537900072960")</f>
        <v>1065592537900072960</v>
      </c>
      <c r="F559" s="12"/>
      <c r="G559" s="11" t="s">
        <v>3223</v>
      </c>
      <c r="H559" s="12"/>
      <c r="I559" s="13">
        <v>0</v>
      </c>
      <c r="J559" s="13">
        <v>1</v>
      </c>
      <c r="K559" s="14" t="str">
        <f t="shared" si="108"/>
        <v>Twitter for Android</v>
      </c>
      <c r="L559" s="13">
        <v>969</v>
      </c>
      <c r="M559" s="13">
        <v>916</v>
      </c>
      <c r="N559" s="13">
        <v>11</v>
      </c>
      <c r="O559" s="15"/>
      <c r="P559" s="6">
        <v>42490.89707175926</v>
      </c>
      <c r="Q559" s="12"/>
      <c r="R559" s="17" t="s">
        <v>3226</v>
      </c>
      <c r="S559" s="12"/>
      <c r="T559" s="12"/>
      <c r="U559" s="10" t="str">
        <f>HYPERLINK("https://pbs.twimg.com/profile_images/914584332815224835/YbW49TKK.jpg","View")</f>
        <v>View</v>
      </c>
    </row>
    <row r="560" spans="1:21" ht="20.399999999999999">
      <c r="A560" s="6">
        <v>43426.588275462964</v>
      </c>
      <c r="B560" s="7" t="str">
        <f>HYPERLINK("https://twitter.com/sleepers_0","@sleepers_0")</f>
        <v>@sleepers_0</v>
      </c>
      <c r="C560" s="8" t="s">
        <v>3228</v>
      </c>
      <c r="D560" s="9" t="s">
        <v>3229</v>
      </c>
      <c r="E560" s="10" t="str">
        <f>HYPERLINK("https://twitter.com/sleepers_0/status/1065592512327413760","1065592512327413760")</f>
        <v>1065592512327413760</v>
      </c>
      <c r="F560" s="11" t="s">
        <v>1193</v>
      </c>
      <c r="G560" s="12"/>
      <c r="H560" s="12"/>
      <c r="I560" s="13">
        <v>0</v>
      </c>
      <c r="J560" s="13">
        <v>0</v>
      </c>
      <c r="K560" s="14" t="str">
        <f t="shared" si="108"/>
        <v>Twitter for Android</v>
      </c>
      <c r="L560" s="13">
        <v>487</v>
      </c>
      <c r="M560" s="13">
        <v>501</v>
      </c>
      <c r="N560" s="13">
        <v>4</v>
      </c>
      <c r="O560" s="15"/>
      <c r="P560" s="6">
        <v>41826.580416666664</v>
      </c>
      <c r="Q560" s="12"/>
      <c r="R560" s="19"/>
      <c r="S560" s="12"/>
      <c r="T560" s="12"/>
      <c r="U560" s="10" t="str">
        <f>HYPERLINK("https://pbs.twimg.com/profile_images/562000920494739457/t_VeZJTN.jpeg","View")</f>
        <v>View</v>
      </c>
    </row>
    <row r="561" spans="1:21" ht="40.799999999999997">
      <c r="A561" s="6">
        <v>43426.588206018518</v>
      </c>
      <c r="B561" s="7" t="str">
        <f>HYPERLINK("https://twitter.com/RafaEspinosa15","@RafaEspinosa15")</f>
        <v>@RafaEspinosa15</v>
      </c>
      <c r="C561" s="8" t="s">
        <v>3231</v>
      </c>
      <c r="D561" s="9" t="s">
        <v>3232</v>
      </c>
      <c r="E561" s="10" t="str">
        <f>HYPERLINK("https://twitter.com/RafaEspinosa15/status/1065592489577467904","1065592489577467904")</f>
        <v>1065592489577467904</v>
      </c>
      <c r="F561" s="11" t="s">
        <v>1388</v>
      </c>
      <c r="G561" s="12"/>
      <c r="H561" s="12"/>
      <c r="I561" s="13">
        <v>1</v>
      </c>
      <c r="J561" s="13">
        <v>0</v>
      </c>
      <c r="K561" s="14" t="str">
        <f t="shared" si="108"/>
        <v>Twitter for Android</v>
      </c>
      <c r="L561" s="13">
        <v>120</v>
      </c>
      <c r="M561" s="13">
        <v>107</v>
      </c>
      <c r="N561" s="13">
        <v>0</v>
      </c>
      <c r="O561" s="15"/>
      <c r="P561" s="6">
        <v>43094.481851851851</v>
      </c>
      <c r="Q561" s="16" t="s">
        <v>3236</v>
      </c>
      <c r="R561" s="17" t="s">
        <v>3237</v>
      </c>
      <c r="S561" s="12"/>
      <c r="T561" s="12"/>
      <c r="U561" s="10" t="str">
        <f>HYPERLINK("https://pbs.twimg.com/profile_images/945243506456645632/-shmD1Us.jpg","View")</f>
        <v>View</v>
      </c>
    </row>
    <row r="562" spans="1:21" ht="40.799999999999997">
      <c r="A562" s="6">
        <v>43426.588043981479</v>
      </c>
      <c r="B562" s="7" t="str">
        <f>HYPERLINK("https://twitter.com/David_wally","@David_wally")</f>
        <v>@David_wally</v>
      </c>
      <c r="C562" s="8" t="s">
        <v>1447</v>
      </c>
      <c r="D562" s="9" t="s">
        <v>1448</v>
      </c>
      <c r="E562" s="10" t="str">
        <f>HYPERLINK("https://twitter.com/David_wally/status/1065592430672658432","1065592430672658432")</f>
        <v>1065592430672658432</v>
      </c>
      <c r="F562" s="11" t="s">
        <v>1450</v>
      </c>
      <c r="G562" s="11" t="s">
        <v>1451</v>
      </c>
      <c r="H562" s="12"/>
      <c r="I562" s="13">
        <v>0</v>
      </c>
      <c r="J562" s="13">
        <v>0</v>
      </c>
      <c r="K562" s="14" t="str">
        <f>HYPERLINK("http://twitter.com/download/iphone","Twitter for iPhone")</f>
        <v>Twitter for iPhone</v>
      </c>
      <c r="L562" s="13">
        <v>309</v>
      </c>
      <c r="M562" s="13">
        <v>866</v>
      </c>
      <c r="N562" s="13">
        <v>1</v>
      </c>
      <c r="O562" s="15"/>
      <c r="P562" s="6">
        <v>40405.121840277774</v>
      </c>
      <c r="Q562" s="16" t="s">
        <v>1453</v>
      </c>
      <c r="R562" s="17" t="s">
        <v>1455</v>
      </c>
      <c r="S562" s="12"/>
      <c r="T562" s="12"/>
      <c r="U562" s="10" t="str">
        <f>HYPERLINK("https://pbs.twimg.com/profile_images/1026880083582222341/AIksXRY9.jpg","View")</f>
        <v>View</v>
      </c>
    </row>
    <row r="563" spans="1:21" ht="51">
      <c r="A563" s="6">
        <v>43426.587696759263</v>
      </c>
      <c r="B563" s="7" t="str">
        <f>HYPERLINK("https://twitter.com/PartidoRepEs","@PartidoRepEs")</f>
        <v>@PartidoRepEs</v>
      </c>
      <c r="C563" s="8" t="s">
        <v>3243</v>
      </c>
      <c r="D563" s="9" t="s">
        <v>3244</v>
      </c>
      <c r="E563" s="10" t="str">
        <f>HYPERLINK("https://twitter.com/PartidoRepEs/status/1065592301664260096","1065592301664260096")</f>
        <v>1065592301664260096</v>
      </c>
      <c r="F563" s="12"/>
      <c r="G563" s="11" t="s">
        <v>3247</v>
      </c>
      <c r="H563" s="12"/>
      <c r="I563" s="13">
        <v>5</v>
      </c>
      <c r="J563" s="13">
        <v>2</v>
      </c>
      <c r="K563" s="14" t="str">
        <f t="shared" ref="K563:K564" si="109">HYPERLINK("http://twitter.com/download/android","Twitter for Android")</f>
        <v>Twitter for Android</v>
      </c>
      <c r="L563" s="13">
        <v>4374</v>
      </c>
      <c r="M563" s="13">
        <v>4995</v>
      </c>
      <c r="N563" s="13">
        <v>25</v>
      </c>
      <c r="O563" s="15"/>
      <c r="P563" s="6">
        <v>42183.720682870371</v>
      </c>
      <c r="Q563" s="12"/>
      <c r="R563" s="17" t="s">
        <v>3249</v>
      </c>
      <c r="S563" s="11" t="s">
        <v>3250</v>
      </c>
      <c r="T563" s="12"/>
      <c r="U563" s="10" t="str">
        <f>HYPERLINK("https://pbs.twimg.com/profile_images/615180335417040901/p8IX-96B.jpg","View")</f>
        <v>View</v>
      </c>
    </row>
    <row r="564" spans="1:21" ht="51">
      <c r="A564" s="6">
        <v>43426.587465277778</v>
      </c>
      <c r="B564" s="7" t="str">
        <f>HYPERLINK("https://twitter.com/Bluecommander29","@Bluecommander29")</f>
        <v>@Bluecommander29</v>
      </c>
      <c r="C564" s="8" t="s">
        <v>1458</v>
      </c>
      <c r="D564" s="9" t="s">
        <v>1459</v>
      </c>
      <c r="E564" s="10" t="str">
        <f>HYPERLINK("https://twitter.com/Bluecommander29/status/1065592220647129088","1065592220647129088")</f>
        <v>1065592220647129088</v>
      </c>
      <c r="F564" s="12"/>
      <c r="G564" s="11" t="s">
        <v>1463</v>
      </c>
      <c r="H564" s="12"/>
      <c r="I564" s="13">
        <v>36</v>
      </c>
      <c r="J564" s="13">
        <v>32</v>
      </c>
      <c r="K564" s="14" t="str">
        <f t="shared" si="109"/>
        <v>Twitter for Android</v>
      </c>
      <c r="L564" s="13">
        <v>166</v>
      </c>
      <c r="M564" s="13">
        <v>117</v>
      </c>
      <c r="N564" s="13">
        <v>4</v>
      </c>
      <c r="O564" s="15"/>
      <c r="P564" s="6">
        <v>40935.550902777773</v>
      </c>
      <c r="Q564" s="12"/>
      <c r="R564" s="17" t="s">
        <v>1464</v>
      </c>
      <c r="S564" s="12"/>
      <c r="T564" s="12"/>
      <c r="U564" s="10" t="str">
        <f>HYPERLINK("https://pbs.twimg.com/profile_images/1060178101940969472/55RUcn3a.jpg","View")</f>
        <v>View</v>
      </c>
    </row>
    <row r="565" spans="1:21" ht="20.399999999999999">
      <c r="A565" s="6">
        <v>43426.586597222224</v>
      </c>
      <c r="B565" s="7" t="str">
        <f>HYPERLINK("https://twitter.com/PJoliCo","@PJoliCo")</f>
        <v>@PJoliCo</v>
      </c>
      <c r="C565" s="8" t="s">
        <v>3255</v>
      </c>
      <c r="D565" s="9" t="s">
        <v>632</v>
      </c>
      <c r="E565" s="10" t="str">
        <f>HYPERLINK("https://twitter.com/PJoliCo/status/1065591905646452738","1065591905646452738")</f>
        <v>1065591905646452738</v>
      </c>
      <c r="F565" s="11" t="s">
        <v>635</v>
      </c>
      <c r="G565" s="12"/>
      <c r="H565" s="12"/>
      <c r="I565" s="13">
        <v>3</v>
      </c>
      <c r="J565" s="13">
        <v>5</v>
      </c>
      <c r="K565" s="14" t="str">
        <f>HYPERLINK("http://twitter.com","Twitter Web Client")</f>
        <v>Twitter Web Client</v>
      </c>
      <c r="L565" s="13">
        <v>1883</v>
      </c>
      <c r="M565" s="13">
        <v>278</v>
      </c>
      <c r="N565" s="13">
        <v>4</v>
      </c>
      <c r="O565" s="15"/>
      <c r="P565" s="6">
        <v>42952.966874999998</v>
      </c>
      <c r="Q565" s="16" t="s">
        <v>3257</v>
      </c>
      <c r="R565" s="17" t="s">
        <v>3258</v>
      </c>
      <c r="S565" s="12"/>
      <c r="T565" s="12"/>
      <c r="U565" s="10" t="str">
        <f>HYPERLINK("https://pbs.twimg.com/profile_images/1065341549481996288/xGNe3N4U.jpg","View")</f>
        <v>View</v>
      </c>
    </row>
    <row r="566" spans="1:21" ht="91.8">
      <c r="A566" s="6">
        <v>43426.586331018523</v>
      </c>
      <c r="B566" s="7" t="str">
        <f>HYPERLINK("https://twitter.com/RuthIliana46","@RuthIliana46")</f>
        <v>@RuthIliana46</v>
      </c>
      <c r="C566" s="8" t="s">
        <v>437</v>
      </c>
      <c r="D566" s="9" t="s">
        <v>1467</v>
      </c>
      <c r="E566" s="10" t="str">
        <f>HYPERLINK("https://twitter.com/RuthIliana46/status/1065591807428489216","1065591807428489216")</f>
        <v>1065591807428489216</v>
      </c>
      <c r="F566" s="16" t="s">
        <v>1468</v>
      </c>
      <c r="G566" s="12"/>
      <c r="H566" s="12"/>
      <c r="I566" s="13">
        <v>6</v>
      </c>
      <c r="J566" s="13">
        <v>6</v>
      </c>
      <c r="K566" s="14" t="str">
        <f>HYPERLINK("http://twitter.com/download/android","Twitter for Android")</f>
        <v>Twitter for Android</v>
      </c>
      <c r="L566" s="13">
        <v>4287</v>
      </c>
      <c r="M566" s="13">
        <v>4178</v>
      </c>
      <c r="N566" s="13">
        <v>483</v>
      </c>
      <c r="O566" s="15"/>
      <c r="P566" s="6">
        <v>41235.80333333333</v>
      </c>
      <c r="Q566" s="16" t="s">
        <v>440</v>
      </c>
      <c r="R566" s="17" t="s">
        <v>441</v>
      </c>
      <c r="S566" s="11" t="s">
        <v>442</v>
      </c>
      <c r="T566" s="12"/>
      <c r="U566" s="10" t="str">
        <f>HYPERLINK("https://pbs.twimg.com/profile_images/976118533162721287/GaSph7A7.jpg","View")</f>
        <v>View</v>
      </c>
    </row>
    <row r="567" spans="1:21" ht="51">
      <c r="A567" s="6">
        <v>43426.58594907407</v>
      </c>
      <c r="B567" s="7" t="str">
        <f>HYPERLINK("https://twitter.com/CiudadanosCs","@CiudadanosCs")</f>
        <v>@CiudadanosCs</v>
      </c>
      <c r="C567" s="8" t="s">
        <v>196</v>
      </c>
      <c r="D567" s="9" t="s">
        <v>1472</v>
      </c>
      <c r="E567" s="10" t="str">
        <f>HYPERLINK("https://twitter.com/CiudadanosCs/status/1065591671889506304","1065591671889506304")</f>
        <v>1065591671889506304</v>
      </c>
      <c r="F567" s="12"/>
      <c r="G567" s="11" t="s">
        <v>1473</v>
      </c>
      <c r="H567" s="12"/>
      <c r="I567" s="13">
        <v>64</v>
      </c>
      <c r="J567" s="13">
        <v>71</v>
      </c>
      <c r="K567" s="14" t="str">
        <f>HYPERLINK("https://studio.twitter.com","Media Studio")</f>
        <v>Media Studio</v>
      </c>
      <c r="L567" s="13">
        <v>486503</v>
      </c>
      <c r="M567" s="13">
        <v>93653</v>
      </c>
      <c r="N567" s="13">
        <v>3318</v>
      </c>
      <c r="O567" s="18" t="s">
        <v>36</v>
      </c>
      <c r="P567" s="6">
        <v>39828.753460648149</v>
      </c>
      <c r="Q567" s="16" t="s">
        <v>37</v>
      </c>
      <c r="R567" s="17" t="s">
        <v>202</v>
      </c>
      <c r="S567" s="11" t="s">
        <v>203</v>
      </c>
      <c r="T567" s="12"/>
      <c r="U567" s="10" t="str">
        <f>HYPERLINK("https://pbs.twimg.com/profile_images/1053554096161075200/1z77_zBZ.jpg","View")</f>
        <v>View</v>
      </c>
    </row>
    <row r="568" spans="1:21" ht="40.799999999999997">
      <c r="A568" s="6">
        <v>43426.58592592593</v>
      </c>
      <c r="B568" s="7" t="str">
        <f>HYPERLINK("https://twitter.com/Xuxatronnn","@Xuxatronnn")</f>
        <v>@Xuxatronnn</v>
      </c>
      <c r="C568" s="8" t="s">
        <v>3221</v>
      </c>
      <c r="D568" s="9" t="s">
        <v>3269</v>
      </c>
      <c r="E568" s="10" t="str">
        <f>HYPERLINK("https://twitter.com/Xuxatronnn/status/1065591661227663360","1065591661227663360")</f>
        <v>1065591661227663360</v>
      </c>
      <c r="F568" s="12"/>
      <c r="G568" s="11" t="s">
        <v>3270</v>
      </c>
      <c r="H568" s="12"/>
      <c r="I568" s="13">
        <v>3</v>
      </c>
      <c r="J568" s="13">
        <v>5</v>
      </c>
      <c r="K568" s="14" t="str">
        <f>HYPERLINK("http://twitter.com/download/android","Twitter for Android")</f>
        <v>Twitter for Android</v>
      </c>
      <c r="L568" s="13">
        <v>969</v>
      </c>
      <c r="M568" s="13">
        <v>916</v>
      </c>
      <c r="N568" s="13">
        <v>11</v>
      </c>
      <c r="O568" s="15"/>
      <c r="P568" s="6">
        <v>42490.89707175926</v>
      </c>
      <c r="Q568" s="12"/>
      <c r="R568" s="17" t="s">
        <v>3226</v>
      </c>
      <c r="S568" s="12"/>
      <c r="T568" s="12"/>
      <c r="U568" s="10" t="str">
        <f>HYPERLINK("https://pbs.twimg.com/profile_images/914584332815224835/YbW49TKK.jpg","View")</f>
        <v>View</v>
      </c>
    </row>
    <row r="569" spans="1:21" ht="61.2">
      <c r="A569" s="6">
        <v>43426.585555555561</v>
      </c>
      <c r="B569" s="7" t="str">
        <f>HYPERLINK("https://twitter.com/Trankas4","@Trankas4")</f>
        <v>@Trankas4</v>
      </c>
      <c r="C569" s="8" t="s">
        <v>1477</v>
      </c>
      <c r="D569" s="9" t="s">
        <v>1478</v>
      </c>
      <c r="E569" s="10" t="str">
        <f>HYPERLINK("https://twitter.com/Trankas4/status/1065591529195151360","1065591529195151360")</f>
        <v>1065591529195151360</v>
      </c>
      <c r="F569" s="12"/>
      <c r="G569" s="12"/>
      <c r="H569" s="12"/>
      <c r="I569" s="13">
        <v>22</v>
      </c>
      <c r="J569" s="13">
        <v>38</v>
      </c>
      <c r="K569" s="14" t="str">
        <f t="shared" ref="K569:K570" si="110">HYPERLINK("http://twitter.com","Twitter Web Client")</f>
        <v>Twitter Web Client</v>
      </c>
      <c r="L569" s="13">
        <v>1364</v>
      </c>
      <c r="M569" s="13">
        <v>1442</v>
      </c>
      <c r="N569" s="13">
        <v>1</v>
      </c>
      <c r="O569" s="15"/>
      <c r="P569" s="6">
        <v>43308.85738425926</v>
      </c>
      <c r="Q569" s="16" t="s">
        <v>1480</v>
      </c>
      <c r="R569" s="17" t="s">
        <v>1482</v>
      </c>
      <c r="S569" s="12"/>
      <c r="T569" s="12"/>
      <c r="U569" s="10" t="str">
        <f>HYPERLINK("https://pbs.twimg.com/profile_images/1053575329862877184/ffZ9OBWY.jpg","View")</f>
        <v>View</v>
      </c>
    </row>
    <row r="570" spans="1:21" ht="20.399999999999999">
      <c r="A570" s="6">
        <v>43426.584861111114</v>
      </c>
      <c r="B570" s="7" t="str">
        <f>HYPERLINK("https://twitter.com/RAMONYOPS","@RAMONYOPS")</f>
        <v>@RAMONYOPS</v>
      </c>
      <c r="C570" s="8" t="s">
        <v>3280</v>
      </c>
      <c r="D570" s="9" t="s">
        <v>3281</v>
      </c>
      <c r="E570" s="10" t="str">
        <f>HYPERLINK("https://twitter.com/RAMONYOPS/status/1065591273648779265","1065591273648779265")</f>
        <v>1065591273648779265</v>
      </c>
      <c r="F570" s="11" t="s">
        <v>1617</v>
      </c>
      <c r="G570" s="12"/>
      <c r="H570" s="12"/>
      <c r="I570" s="13">
        <v>0</v>
      </c>
      <c r="J570" s="13">
        <v>0</v>
      </c>
      <c r="K570" s="14" t="str">
        <f t="shared" si="110"/>
        <v>Twitter Web Client</v>
      </c>
      <c r="L570" s="13">
        <v>1709</v>
      </c>
      <c r="M570" s="13">
        <v>1766</v>
      </c>
      <c r="N570" s="13">
        <v>21</v>
      </c>
      <c r="O570" s="15"/>
      <c r="P570" s="6">
        <v>39877.79420138889</v>
      </c>
      <c r="Q570" s="12"/>
      <c r="R570" s="17" t="s">
        <v>3283</v>
      </c>
      <c r="S570" s="11" t="s">
        <v>3284</v>
      </c>
      <c r="T570" s="12"/>
      <c r="U570" s="10" t="str">
        <f>HYPERLINK("https://pbs.twimg.com/profile_images/1064903701175906305/juDxNOsb.jpg","View")</f>
        <v>View</v>
      </c>
    </row>
    <row r="571" spans="1:21" ht="51">
      <c r="A571" s="6">
        <v>43426.584224537037</v>
      </c>
      <c r="B571" s="7" t="str">
        <f>HYPERLINK("https://twitter.com/lamor_laura","@lamor_laura")</f>
        <v>@lamor_laura</v>
      </c>
      <c r="C571" s="8" t="s">
        <v>3289</v>
      </c>
      <c r="D571" s="9" t="s">
        <v>3290</v>
      </c>
      <c r="E571" s="10" t="str">
        <f>HYPERLINK("https://twitter.com/lamor_laura/status/1065591045403095041","1065591045403095041")</f>
        <v>1065591045403095041</v>
      </c>
      <c r="F571" s="11" t="s">
        <v>635</v>
      </c>
      <c r="G571" s="12"/>
      <c r="H571" s="12"/>
      <c r="I571" s="13">
        <v>1</v>
      </c>
      <c r="J571" s="13">
        <v>1</v>
      </c>
      <c r="K571" s="14" t="str">
        <f>HYPERLINK("http://twitter.com/#!/download/ipad","Twitter for iPad")</f>
        <v>Twitter for iPad</v>
      </c>
      <c r="L571" s="13">
        <v>4271</v>
      </c>
      <c r="M571" s="13">
        <v>4270</v>
      </c>
      <c r="N571" s="13">
        <v>11</v>
      </c>
      <c r="O571" s="15"/>
      <c r="P571" s="6">
        <v>41541.831817129627</v>
      </c>
      <c r="Q571" s="16" t="s">
        <v>3293</v>
      </c>
      <c r="R571" s="17" t="s">
        <v>3294</v>
      </c>
      <c r="S571" s="12"/>
      <c r="T571" s="12"/>
      <c r="U571" s="10" t="str">
        <f>HYPERLINK("https://pbs.twimg.com/profile_images/857228458044293120/uU6ALOG6.jpg","View")</f>
        <v>View</v>
      </c>
    </row>
    <row r="572" spans="1:21" ht="20.399999999999999">
      <c r="A572" s="6">
        <v>43426.584027777775</v>
      </c>
      <c r="B572" s="7" t="str">
        <f>HYPERLINK("https://twitter.com/RogerdClari","@RogerdClari")</f>
        <v>@RogerdClari</v>
      </c>
      <c r="C572" s="8" t="s">
        <v>3298</v>
      </c>
      <c r="D572" s="9" t="s">
        <v>2985</v>
      </c>
      <c r="E572" s="10" t="str">
        <f>HYPERLINK("https://twitter.com/RogerdClari/status/1065590975676989441","1065590975676989441")</f>
        <v>1065590975676989441</v>
      </c>
      <c r="F572" s="11" t="s">
        <v>2206</v>
      </c>
      <c r="G572" s="12"/>
      <c r="H572" s="12"/>
      <c r="I572" s="13">
        <v>0</v>
      </c>
      <c r="J572" s="13">
        <v>0</v>
      </c>
      <c r="K572" s="14" t="str">
        <f>HYPERLINK("http://twitter.com/download/iphone","Twitter for iPhone")</f>
        <v>Twitter for iPhone</v>
      </c>
      <c r="L572" s="13">
        <v>2508</v>
      </c>
      <c r="M572" s="13">
        <v>2320</v>
      </c>
      <c r="N572" s="13">
        <v>22</v>
      </c>
      <c r="O572" s="15"/>
      <c r="P572" s="6">
        <v>42115.826782407406</v>
      </c>
      <c r="Q572" s="16" t="s">
        <v>3301</v>
      </c>
      <c r="R572" s="17" t="s">
        <v>3302</v>
      </c>
      <c r="S572" s="12"/>
      <c r="T572" s="12"/>
      <c r="U572" s="10" t="str">
        <f>HYPERLINK("https://pbs.twimg.com/profile_images/613031209405403136/BCSuUFP-.jpg","View")</f>
        <v>View</v>
      </c>
    </row>
    <row r="573" spans="1:21" ht="51">
      <c r="A573" s="6">
        <v>43426.584027777775</v>
      </c>
      <c r="B573" s="7" t="str">
        <f>HYPERLINK("https://twitter.com/bitMomentum","@bitMomentum")</f>
        <v>@bitMomentum</v>
      </c>
      <c r="C573" s="8" t="s">
        <v>706</v>
      </c>
      <c r="D573" s="9" t="s">
        <v>1485</v>
      </c>
      <c r="E573" s="10" t="str">
        <f>HYPERLINK("https://twitter.com/bitMomentum/status/1065590972413825024","1065590972413825024")</f>
        <v>1065590972413825024</v>
      </c>
      <c r="F573" s="12"/>
      <c r="G573" s="12"/>
      <c r="H573" s="12"/>
      <c r="I573" s="13">
        <v>1</v>
      </c>
      <c r="J573" s="13">
        <v>0</v>
      </c>
      <c r="K573" s="14" t="str">
        <f>HYPERLINK("http://www.bitmomentum.com","bitMomentum Bot")</f>
        <v>bitMomentum Bot</v>
      </c>
      <c r="L573" s="13">
        <v>10132</v>
      </c>
      <c r="M573" s="13">
        <v>1060</v>
      </c>
      <c r="N573" s="13">
        <v>262</v>
      </c>
      <c r="O573" s="15"/>
      <c r="P573" s="6">
        <v>41608.667511574073</v>
      </c>
      <c r="Q573" s="12"/>
      <c r="R573" s="17" t="s">
        <v>708</v>
      </c>
      <c r="S573" s="11" t="s">
        <v>709</v>
      </c>
      <c r="T573" s="12"/>
      <c r="U573" s="10" t="str">
        <f>HYPERLINK("https://pbs.twimg.com/profile_images/378800000862185241/20ij2H3u.png","View")</f>
        <v>View</v>
      </c>
    </row>
    <row r="574" spans="1:21" ht="40.799999999999997">
      <c r="A574" s="6">
        <v>43426.58393518519</v>
      </c>
      <c r="B574" s="7" t="str">
        <f>HYPERLINK("https://twitter.com/pascualroger1","@pascualroger1")</f>
        <v>@pascualroger1</v>
      </c>
      <c r="C574" s="8" t="s">
        <v>3308</v>
      </c>
      <c r="D574" s="9" t="s">
        <v>2830</v>
      </c>
      <c r="E574" s="10" t="str">
        <f>HYPERLINK("https://twitter.com/pascualroger1/status/1065590940100788224","1065590940100788224")</f>
        <v>1065590940100788224</v>
      </c>
      <c r="F574" s="11" t="s">
        <v>1388</v>
      </c>
      <c r="G574" s="12"/>
      <c r="H574" s="12"/>
      <c r="I574" s="13">
        <v>0</v>
      </c>
      <c r="J574" s="13">
        <v>0</v>
      </c>
      <c r="K574" s="14" t="str">
        <f>HYPERLINK("http://twitter.com","Twitter Web Client")</f>
        <v>Twitter Web Client</v>
      </c>
      <c r="L574" s="13">
        <v>894</v>
      </c>
      <c r="M574" s="13">
        <v>2037</v>
      </c>
      <c r="N574" s="13">
        <v>12</v>
      </c>
      <c r="O574" s="15"/>
      <c r="P574" s="6">
        <v>43341.864224537036</v>
      </c>
      <c r="Q574" s="12"/>
      <c r="R574" s="17" t="s">
        <v>3311</v>
      </c>
      <c r="S574" s="12"/>
      <c r="T574" s="12"/>
      <c r="U574" s="10" t="str">
        <f>HYPERLINK("https://pbs.twimg.com/profile_images/1034877419927347205/WZ3ty6cZ.jpg","View")</f>
        <v>View</v>
      </c>
    </row>
    <row r="575" spans="1:21" ht="30.6">
      <c r="A575" s="6">
        <v>43426.583877314813</v>
      </c>
      <c r="B575" s="7" t="str">
        <f>HYPERLINK("https://twitter.com/PBDcc","@PBDcc")</f>
        <v>@PBDcc</v>
      </c>
      <c r="C575" s="8" t="s">
        <v>3315</v>
      </c>
      <c r="D575" s="9" t="s">
        <v>1465</v>
      </c>
      <c r="E575" s="10" t="str">
        <f>HYPERLINK("https://twitter.com/PBDcc/status/1065590918688968705","1065590918688968705")</f>
        <v>1065590918688968705</v>
      </c>
      <c r="F575" s="11" t="s">
        <v>635</v>
      </c>
      <c r="G575" s="12"/>
      <c r="H575" s="12"/>
      <c r="I575" s="13">
        <v>0</v>
      </c>
      <c r="J575" s="13">
        <v>0</v>
      </c>
      <c r="K575" s="14" t="str">
        <f>HYPERLINK("http://twitter.com/download/android","Twitter for Android")</f>
        <v>Twitter for Android</v>
      </c>
      <c r="L575" s="13">
        <v>1686</v>
      </c>
      <c r="M575" s="13">
        <v>605</v>
      </c>
      <c r="N575" s="13">
        <v>46</v>
      </c>
      <c r="O575" s="15"/>
      <c r="P575" s="6">
        <v>40130.887326388889</v>
      </c>
      <c r="Q575" s="16" t="s">
        <v>3317</v>
      </c>
      <c r="R575" s="17" t="s">
        <v>3319</v>
      </c>
      <c r="S575" s="11" t="s">
        <v>3321</v>
      </c>
      <c r="T575" s="12"/>
      <c r="U575" s="10" t="str">
        <f>HYPERLINK("https://pbs.twimg.com/profile_images/1022188904949141504/_OMw4i7a.jpg","View")</f>
        <v>View</v>
      </c>
    </row>
    <row r="576" spans="1:21" ht="40.799999999999997">
      <c r="A576" s="6">
        <v>43426.583819444444</v>
      </c>
      <c r="B576" s="7" t="str">
        <f>HYPERLINK("https://twitter.com/VicenteTen","@VicenteTen")</f>
        <v>@VicenteTen</v>
      </c>
      <c r="C576" s="8" t="s">
        <v>1486</v>
      </c>
      <c r="D576" s="9" t="s">
        <v>1487</v>
      </c>
      <c r="E576" s="10" t="str">
        <f>HYPERLINK("https://twitter.com/VicenteTen/status/1065590896903770112","1065590896903770112")</f>
        <v>1065590896903770112</v>
      </c>
      <c r="F576" s="11" t="s">
        <v>1488</v>
      </c>
      <c r="G576" s="12"/>
      <c r="H576" s="12"/>
      <c r="I576" s="13">
        <v>5</v>
      </c>
      <c r="J576" s="13">
        <v>10</v>
      </c>
      <c r="K576" s="14" t="str">
        <f t="shared" ref="K576:K577" si="111">HYPERLINK("http://twitter.com/download/iphone","Twitter for iPhone")</f>
        <v>Twitter for iPhone</v>
      </c>
      <c r="L576" s="13">
        <v>4271</v>
      </c>
      <c r="M576" s="13">
        <v>667</v>
      </c>
      <c r="N576" s="13">
        <v>84</v>
      </c>
      <c r="O576" s="18" t="s">
        <v>36</v>
      </c>
      <c r="P576" s="6">
        <v>42015.502372685187</v>
      </c>
      <c r="Q576" s="16" t="s">
        <v>263</v>
      </c>
      <c r="R576" s="17" t="s">
        <v>1491</v>
      </c>
      <c r="S576" s="11" t="s">
        <v>1492</v>
      </c>
      <c r="T576" s="12"/>
      <c r="U576" s="10" t="str">
        <f>HYPERLINK("https://pbs.twimg.com/profile_images/832244632637546496/d-StdO3m.jpg","View")</f>
        <v>View</v>
      </c>
    </row>
    <row r="577" spans="1:21" ht="30.6">
      <c r="A577" s="6">
        <v>43426.583726851852</v>
      </c>
      <c r="B577" s="7" t="str">
        <f>HYPERLINK("https://twitter.com/ligrebarracudo","@ligrebarracudo")</f>
        <v>@ligrebarracudo</v>
      </c>
      <c r="C577" s="8" t="s">
        <v>3330</v>
      </c>
      <c r="D577" s="9" t="s">
        <v>3331</v>
      </c>
      <c r="E577" s="10" t="str">
        <f>HYPERLINK("https://twitter.com/ligrebarracudo/status/1065590864175607808","1065590864175607808")</f>
        <v>1065590864175607808</v>
      </c>
      <c r="F577" s="11" t="s">
        <v>3332</v>
      </c>
      <c r="G577" s="12"/>
      <c r="H577" s="12"/>
      <c r="I577" s="13">
        <v>0</v>
      </c>
      <c r="J577" s="13">
        <v>0</v>
      </c>
      <c r="K577" s="14" t="str">
        <f t="shared" si="111"/>
        <v>Twitter for iPhone</v>
      </c>
      <c r="L577" s="13">
        <v>64</v>
      </c>
      <c r="M577" s="13">
        <v>204</v>
      </c>
      <c r="N577" s="13">
        <v>9</v>
      </c>
      <c r="O577" s="15"/>
      <c r="P577" s="6">
        <v>40011.582430555558</v>
      </c>
      <c r="Q577" s="16" t="s">
        <v>3058</v>
      </c>
      <c r="R577" s="17" t="s">
        <v>3334</v>
      </c>
      <c r="S577" s="12"/>
      <c r="T577" s="12"/>
      <c r="U577" s="10" t="str">
        <f>HYPERLINK("https://pbs.twimg.com/profile_images/1478213965/The_Nineties_in_One_Picture.jpg","View")</f>
        <v>View</v>
      </c>
    </row>
    <row r="578" spans="1:21" ht="30.6">
      <c r="A578" s="6">
        <v>43426.583564814813</v>
      </c>
      <c r="B578" s="7" t="str">
        <f>HYPERLINK("https://twitter.com/asivaespana_com","@asivaespana_com")</f>
        <v>@asivaespana_com</v>
      </c>
      <c r="C578" s="8" t="s">
        <v>2730</v>
      </c>
      <c r="D578" s="9" t="s">
        <v>3335</v>
      </c>
      <c r="E578" s="10" t="str">
        <f>HYPERLINK("https://twitter.com/asivaespana_com/status/1065590806013190144","1065590806013190144")</f>
        <v>1065590806013190144</v>
      </c>
      <c r="F578" s="11" t="s">
        <v>3336</v>
      </c>
      <c r="G578" s="12"/>
      <c r="H578" s="12"/>
      <c r="I578" s="13">
        <v>0</v>
      </c>
      <c r="J578" s="13">
        <v>1</v>
      </c>
      <c r="K578" s="14" t="str">
        <f>HYPERLINK("http://www.asivaespana.com","Así va España")</f>
        <v>Así va España</v>
      </c>
      <c r="L578" s="13">
        <v>4403</v>
      </c>
      <c r="M578" s="13">
        <v>31</v>
      </c>
      <c r="N578" s="13">
        <v>49</v>
      </c>
      <c r="O578" s="15"/>
      <c r="P578" s="6">
        <v>40772.838576388887</v>
      </c>
      <c r="Q578" s="16" t="s">
        <v>37</v>
      </c>
      <c r="R578" s="17" t="s">
        <v>2739</v>
      </c>
      <c r="S578" s="11" t="s">
        <v>2740</v>
      </c>
      <c r="T578" s="12"/>
      <c r="U578" s="10" t="str">
        <f>HYPERLINK("https://pbs.twimg.com/profile_images/606096519796768769/A1npKoi0.png","View")</f>
        <v>View</v>
      </c>
    </row>
    <row r="579" spans="1:21" ht="51">
      <c r="A579" s="6">
        <v>43426.583287037036</v>
      </c>
      <c r="B579" s="7" t="str">
        <f t="shared" ref="B579:B580" si="112">HYPERLINK("https://twitter.com/CiudadanosCs","@CiudadanosCs")</f>
        <v>@CiudadanosCs</v>
      </c>
      <c r="C579" s="8" t="s">
        <v>196</v>
      </c>
      <c r="D579" s="9" t="s">
        <v>1496</v>
      </c>
      <c r="E579" s="10" t="str">
        <f>HYPERLINK("https://twitter.com/CiudadanosCs/status/1065590706167840768","1065590706167840768")</f>
        <v>1065590706167840768</v>
      </c>
      <c r="F579" s="12"/>
      <c r="G579" s="11" t="s">
        <v>1499</v>
      </c>
      <c r="H579" s="12"/>
      <c r="I579" s="13">
        <v>41</v>
      </c>
      <c r="J579" s="13">
        <v>52</v>
      </c>
      <c r="K579" s="14" t="str">
        <f t="shared" ref="K579:K580" si="113">HYPERLINK("https://studio.twitter.com","Media Studio")</f>
        <v>Media Studio</v>
      </c>
      <c r="L579" s="13">
        <v>486503</v>
      </c>
      <c r="M579" s="13">
        <v>93653</v>
      </c>
      <c r="N579" s="13">
        <v>3318</v>
      </c>
      <c r="O579" s="18" t="s">
        <v>36</v>
      </c>
      <c r="P579" s="6">
        <v>39828.753460648149</v>
      </c>
      <c r="Q579" s="16" t="s">
        <v>37</v>
      </c>
      <c r="R579" s="17" t="s">
        <v>202</v>
      </c>
      <c r="S579" s="11" t="s">
        <v>203</v>
      </c>
      <c r="T579" s="12"/>
      <c r="U579" s="10" t="str">
        <f t="shared" ref="U579:U580" si="114">HYPERLINK("https://pbs.twimg.com/profile_images/1053554096161075200/1z77_zBZ.jpg","View")</f>
        <v>View</v>
      </c>
    </row>
    <row r="580" spans="1:21" ht="51">
      <c r="A580" s="6">
        <v>43426.582870370374</v>
      </c>
      <c r="B580" s="7" t="str">
        <f t="shared" si="112"/>
        <v>@CiudadanosCs</v>
      </c>
      <c r="C580" s="8" t="s">
        <v>196</v>
      </c>
      <c r="D580" s="9" t="s">
        <v>1500</v>
      </c>
      <c r="E580" s="10" t="str">
        <f>HYPERLINK("https://twitter.com/CiudadanosCs/status/1065590555323899906","1065590555323899906")</f>
        <v>1065590555323899906</v>
      </c>
      <c r="F580" s="12"/>
      <c r="G580" s="11" t="s">
        <v>1501</v>
      </c>
      <c r="H580" s="12"/>
      <c r="I580" s="13">
        <v>64</v>
      </c>
      <c r="J580" s="13">
        <v>96</v>
      </c>
      <c r="K580" s="14" t="str">
        <f t="shared" si="113"/>
        <v>Media Studio</v>
      </c>
      <c r="L580" s="13">
        <v>486503</v>
      </c>
      <c r="M580" s="13">
        <v>93653</v>
      </c>
      <c r="N580" s="13">
        <v>3318</v>
      </c>
      <c r="O580" s="18" t="s">
        <v>36</v>
      </c>
      <c r="P580" s="6">
        <v>39828.753460648149</v>
      </c>
      <c r="Q580" s="16" t="s">
        <v>37</v>
      </c>
      <c r="R580" s="17" t="s">
        <v>202</v>
      </c>
      <c r="S580" s="11" t="s">
        <v>203</v>
      </c>
      <c r="T580" s="12"/>
      <c r="U580" s="10" t="str">
        <f t="shared" si="114"/>
        <v>View</v>
      </c>
    </row>
    <row r="581" spans="1:21" ht="40.799999999999997">
      <c r="A581" s="6">
        <v>43426.582673611112</v>
      </c>
      <c r="B581" s="7" t="str">
        <f>HYPERLINK("https://twitter.com/LouMonth","@LouMonth")</f>
        <v>@LouMonth</v>
      </c>
      <c r="C581" s="8" t="s">
        <v>3339</v>
      </c>
      <c r="D581" s="9" t="s">
        <v>3340</v>
      </c>
      <c r="E581" s="10" t="str">
        <f>HYPERLINK("https://twitter.com/LouMonth/status/1065590482061967362","1065590482061967362")</f>
        <v>1065590482061967362</v>
      </c>
      <c r="F581" s="11" t="s">
        <v>1864</v>
      </c>
      <c r="G581" s="12"/>
      <c r="H581" s="12"/>
      <c r="I581" s="13">
        <v>0</v>
      </c>
      <c r="J581" s="13">
        <v>0</v>
      </c>
      <c r="K581" s="14" t="str">
        <f t="shared" ref="K581:K582" si="115">HYPERLINK("http://twitter.com/download/android","Twitter for Android")</f>
        <v>Twitter for Android</v>
      </c>
      <c r="L581" s="13">
        <v>613</v>
      </c>
      <c r="M581" s="13">
        <v>942</v>
      </c>
      <c r="N581" s="13">
        <v>11</v>
      </c>
      <c r="O581" s="15"/>
      <c r="P581" s="6">
        <v>42043.653182870374</v>
      </c>
      <c r="Q581" s="12"/>
      <c r="R581" s="17" t="s">
        <v>3341</v>
      </c>
      <c r="S581" s="12"/>
      <c r="T581" s="12"/>
      <c r="U581" s="10" t="str">
        <f>HYPERLINK("https://pbs.twimg.com/profile_images/973528780307419137/_gxnNgaW.jpg","View")</f>
        <v>View</v>
      </c>
    </row>
    <row r="582" spans="1:21" ht="40.799999999999997">
      <c r="A582" s="6">
        <v>43426.582013888888</v>
      </c>
      <c r="B582" s="7" t="str">
        <f>HYPERLINK("https://twitter.com/ArmandoRuido007","@ArmandoRuido007")</f>
        <v>@ArmandoRuido007</v>
      </c>
      <c r="C582" s="8" t="s">
        <v>3343</v>
      </c>
      <c r="D582" s="9" t="s">
        <v>3344</v>
      </c>
      <c r="E582" s="10" t="str">
        <f>HYPERLINK("https://twitter.com/ArmandoRuido007/status/1065590244240748544","1065590244240748544")</f>
        <v>1065590244240748544</v>
      </c>
      <c r="F582" s="11" t="s">
        <v>635</v>
      </c>
      <c r="G582" s="12"/>
      <c r="H582" s="12"/>
      <c r="I582" s="13">
        <v>37</v>
      </c>
      <c r="J582" s="13">
        <v>45</v>
      </c>
      <c r="K582" s="14" t="str">
        <f t="shared" si="115"/>
        <v>Twitter for Android</v>
      </c>
      <c r="L582" s="13">
        <v>509</v>
      </c>
      <c r="M582" s="13">
        <v>323</v>
      </c>
      <c r="N582" s="13">
        <v>1</v>
      </c>
      <c r="O582" s="15"/>
      <c r="P582" s="6">
        <v>43189.02516203704</v>
      </c>
      <c r="Q582" s="12"/>
      <c r="R582" s="17" t="s">
        <v>3353</v>
      </c>
      <c r="S582" s="12"/>
      <c r="T582" s="12"/>
      <c r="U582" s="10" t="str">
        <f>HYPERLINK("https://pbs.twimg.com/profile_images/980814147603566592/FUXbnVvk.jpg","View")</f>
        <v>View</v>
      </c>
    </row>
    <row r="583" spans="1:21" ht="30.6">
      <c r="A583" s="6">
        <v>43426.581979166665</v>
      </c>
      <c r="B583" s="7" t="str">
        <f>HYPERLINK("https://twitter.com/ontibe","@ontibe")</f>
        <v>@ontibe</v>
      </c>
      <c r="C583" s="8" t="s">
        <v>3356</v>
      </c>
      <c r="D583" s="9" t="s">
        <v>632</v>
      </c>
      <c r="E583" s="10" t="str">
        <f>HYPERLINK("https://twitter.com/ontibe/status/1065590231318040577","1065590231318040577")</f>
        <v>1065590231318040577</v>
      </c>
      <c r="F583" s="11" t="s">
        <v>635</v>
      </c>
      <c r="G583" s="12"/>
      <c r="H583" s="12"/>
      <c r="I583" s="13">
        <v>0</v>
      </c>
      <c r="J583" s="13">
        <v>0</v>
      </c>
      <c r="K583" s="14" t="str">
        <f t="shared" ref="K583:K584" si="116">HYPERLINK("http://twitter.com","Twitter Web Client")</f>
        <v>Twitter Web Client</v>
      </c>
      <c r="L583" s="13">
        <v>432</v>
      </c>
      <c r="M583" s="13">
        <v>1265</v>
      </c>
      <c r="N583" s="13">
        <v>1</v>
      </c>
      <c r="O583" s="15"/>
      <c r="P583" s="6">
        <v>40673.627766203703</v>
      </c>
      <c r="Q583" s="16" t="s">
        <v>3357</v>
      </c>
      <c r="R583" s="17" t="s">
        <v>3358</v>
      </c>
      <c r="S583" s="12"/>
      <c r="T583" s="12"/>
      <c r="U583" s="10" t="str">
        <f>HYPERLINK("https://pbs.twimg.com/profile_images/867069058037972993/9c2-Wrp7.jpg","View")</f>
        <v>View</v>
      </c>
    </row>
    <row r="584" spans="1:21" ht="20.399999999999999">
      <c r="A584" s="6">
        <v>43426.581412037034</v>
      </c>
      <c r="B584" s="7" t="str">
        <f>HYPERLINK("https://twitter.com/JuanCar27870876","@JuanCar27870876")</f>
        <v>@JuanCar27870876</v>
      </c>
      <c r="C584" s="8" t="s">
        <v>3360</v>
      </c>
      <c r="D584" s="9" t="s">
        <v>632</v>
      </c>
      <c r="E584" s="10" t="str">
        <f>HYPERLINK("https://twitter.com/JuanCar27870876/status/1065590024585035778","1065590024585035778")</f>
        <v>1065590024585035778</v>
      </c>
      <c r="F584" s="11" t="s">
        <v>635</v>
      </c>
      <c r="G584" s="12"/>
      <c r="H584" s="12"/>
      <c r="I584" s="13">
        <v>0</v>
      </c>
      <c r="J584" s="13">
        <v>0</v>
      </c>
      <c r="K584" s="14" t="str">
        <f t="shared" si="116"/>
        <v>Twitter Web Client</v>
      </c>
      <c r="L584" s="13">
        <v>10</v>
      </c>
      <c r="M584" s="13">
        <v>30</v>
      </c>
      <c r="N584" s="13">
        <v>0</v>
      </c>
      <c r="O584" s="15"/>
      <c r="P584" s="6">
        <v>43105.851469907408</v>
      </c>
      <c r="Q584" s="12"/>
      <c r="R584" s="19"/>
      <c r="S584" s="12"/>
      <c r="T584" s="12"/>
      <c r="U584" s="10" t="str">
        <f>HYPERLINK("https://pbs.twimg.com/profile_images/949365026355400704/QOeyJ7_Y.jpg","View")</f>
        <v>View</v>
      </c>
    </row>
    <row r="585" spans="1:21" ht="51">
      <c r="A585" s="6">
        <v>43426.580879629633</v>
      </c>
      <c r="B585" s="7" t="str">
        <f>HYPERLINK("https://twitter.com/caroline_madrid","@caroline_madrid")</f>
        <v>@caroline_madrid</v>
      </c>
      <c r="C585" s="8" t="s">
        <v>1505</v>
      </c>
      <c r="D585" s="9" t="s">
        <v>1506</v>
      </c>
      <c r="E585" s="10" t="str">
        <f>HYPERLINK("https://twitter.com/caroline_madrid/status/1065589833727426561","1065589833727426561")</f>
        <v>1065589833727426561</v>
      </c>
      <c r="F585" s="16" t="s">
        <v>1507</v>
      </c>
      <c r="G585" s="12"/>
      <c r="H585" s="12"/>
      <c r="I585" s="13">
        <v>0</v>
      </c>
      <c r="J585" s="13">
        <v>0</v>
      </c>
      <c r="K585" s="14" t="str">
        <f>HYPERLINK("http://twitter.com/download/iphone","Twitter for iPhone")</f>
        <v>Twitter for iPhone</v>
      </c>
      <c r="L585" s="13">
        <v>266</v>
      </c>
      <c r="M585" s="13">
        <v>925</v>
      </c>
      <c r="N585" s="13">
        <v>22</v>
      </c>
      <c r="O585" s="15"/>
      <c r="P585" s="6">
        <v>40691.828773148147</v>
      </c>
      <c r="Q585" s="16" t="s">
        <v>37</v>
      </c>
      <c r="R585" s="19"/>
      <c r="S585" s="12"/>
      <c r="T585" s="12"/>
      <c r="U585" s="10" t="str">
        <f>HYPERLINK("https://pbs.twimg.com/profile_images/1374624704/KArthago_2.JPG","View")</f>
        <v>View</v>
      </c>
    </row>
    <row r="586" spans="1:21" ht="20.399999999999999">
      <c r="A586" s="6">
        <v>43426.579895833333</v>
      </c>
      <c r="B586" s="7" t="str">
        <f>HYPERLINK("https://twitter.com/JosmiguelTomeG1","@JosmiguelTomeG1")</f>
        <v>@JosmiguelTomeG1</v>
      </c>
      <c r="C586" s="8" t="s">
        <v>2014</v>
      </c>
      <c r="D586" s="9" t="s">
        <v>632</v>
      </c>
      <c r="E586" s="10" t="str">
        <f>HYPERLINK("https://twitter.com/JosmiguelTomeG1/status/1065589476775403528","1065589476775403528")</f>
        <v>1065589476775403528</v>
      </c>
      <c r="F586" s="11" t="s">
        <v>635</v>
      </c>
      <c r="G586" s="12"/>
      <c r="H586" s="12"/>
      <c r="I586" s="13">
        <v>0</v>
      </c>
      <c r="J586" s="13">
        <v>0</v>
      </c>
      <c r="K586" s="14" t="str">
        <f>HYPERLINK("http://twitter.com/download/android","Twitter for Android")</f>
        <v>Twitter for Android</v>
      </c>
      <c r="L586" s="13">
        <v>10</v>
      </c>
      <c r="M586" s="13">
        <v>47</v>
      </c>
      <c r="N586" s="13">
        <v>0</v>
      </c>
      <c r="O586" s="15"/>
      <c r="P586" s="6">
        <v>43405.396458333329</v>
      </c>
      <c r="Q586" s="16" t="s">
        <v>3368</v>
      </c>
      <c r="R586" s="17" t="s">
        <v>3370</v>
      </c>
      <c r="S586" s="12"/>
      <c r="T586" s="12"/>
      <c r="U586" s="10" t="str">
        <f>HYPERLINK("https://pbs.twimg.com/profile_images/1060492561226362882/nJwtQ6z_.jpg","View")</f>
        <v>View</v>
      </c>
    </row>
    <row r="587" spans="1:21" ht="51">
      <c r="A587" s="6">
        <v>43426.579745370371</v>
      </c>
      <c r="B587" s="7" t="str">
        <f>HYPERLINK("https://twitter.com/CiudadanosCs","@CiudadanosCs")</f>
        <v>@CiudadanosCs</v>
      </c>
      <c r="C587" s="8" t="s">
        <v>196</v>
      </c>
      <c r="D587" s="9" t="s">
        <v>1511</v>
      </c>
      <c r="E587" s="10" t="str">
        <f>HYPERLINK("https://twitter.com/CiudadanosCs/status/1065589423163744258","1065589423163744258")</f>
        <v>1065589423163744258</v>
      </c>
      <c r="F587" s="12"/>
      <c r="G587" s="11" t="s">
        <v>1514</v>
      </c>
      <c r="H587" s="12"/>
      <c r="I587" s="13">
        <v>77</v>
      </c>
      <c r="J587" s="13">
        <v>106</v>
      </c>
      <c r="K587" s="14" t="str">
        <f>HYPERLINK("https://studio.twitter.com","Media Studio")</f>
        <v>Media Studio</v>
      </c>
      <c r="L587" s="13">
        <v>486503</v>
      </c>
      <c r="M587" s="13">
        <v>93653</v>
      </c>
      <c r="N587" s="13">
        <v>3318</v>
      </c>
      <c r="O587" s="18" t="s">
        <v>36</v>
      </c>
      <c r="P587" s="6">
        <v>39828.753460648149</v>
      </c>
      <c r="Q587" s="16" t="s">
        <v>37</v>
      </c>
      <c r="R587" s="17" t="s">
        <v>202</v>
      </c>
      <c r="S587" s="11" t="s">
        <v>203</v>
      </c>
      <c r="T587" s="12"/>
      <c r="U587" s="10" t="str">
        <f>HYPERLINK("https://pbs.twimg.com/profile_images/1053554096161075200/1z77_zBZ.jpg","View")</f>
        <v>View</v>
      </c>
    </row>
    <row r="588" spans="1:21" ht="40.799999999999997">
      <c r="A588" s="6">
        <v>43426.577650462961</v>
      </c>
      <c r="B588" s="7" t="str">
        <f>HYPERLINK("https://twitter.com/elmundoes","@elmundoes")</f>
        <v>@elmundoes</v>
      </c>
      <c r="C588" s="8" t="s">
        <v>3375</v>
      </c>
      <c r="D588" s="9" t="s">
        <v>3376</v>
      </c>
      <c r="E588" s="10" t="str">
        <f>HYPERLINK("https://twitter.com/elmundoes/status/1065588664388988928","1065588664388988928")</f>
        <v>1065588664388988928</v>
      </c>
      <c r="F588" s="11" t="s">
        <v>3379</v>
      </c>
      <c r="G588" s="12"/>
      <c r="H588" s="12"/>
      <c r="I588" s="13">
        <v>82</v>
      </c>
      <c r="J588" s="13">
        <v>163</v>
      </c>
      <c r="K588" s="14" t="str">
        <f>HYPERLINK("http://www.socialflow.com","SocialFlow")</f>
        <v>SocialFlow</v>
      </c>
      <c r="L588" s="13">
        <v>3190372</v>
      </c>
      <c r="M588" s="13">
        <v>1355</v>
      </c>
      <c r="N588" s="13">
        <v>29574</v>
      </c>
      <c r="O588" s="18" t="s">
        <v>36</v>
      </c>
      <c r="P588" s="6">
        <v>39556.853761574072</v>
      </c>
      <c r="Q588" s="16" t="s">
        <v>37</v>
      </c>
      <c r="R588" s="17" t="s">
        <v>3381</v>
      </c>
      <c r="S588" s="11" t="s">
        <v>3382</v>
      </c>
      <c r="T588" s="12"/>
      <c r="U588" s="10" t="str">
        <f>HYPERLINK("https://pbs.twimg.com/profile_images/959947259780747265/ez18J78k.jpg","View")</f>
        <v>View</v>
      </c>
    </row>
    <row r="589" spans="1:21" ht="30.6">
      <c r="A589" s="6">
        <v>43426.575844907406</v>
      </c>
      <c r="B589" s="7" t="str">
        <f>HYPERLINK("https://twitter.com/dani_lovsky","@dani_lovsky")</f>
        <v>@dani_lovsky</v>
      </c>
      <c r="C589" s="8" t="s">
        <v>1515</v>
      </c>
      <c r="D589" s="9" t="s">
        <v>1516</v>
      </c>
      <c r="E589" s="10" t="str">
        <f>HYPERLINK("https://twitter.com/dani_lovsky/status/1065588008819326976","1065588008819326976")</f>
        <v>1065588008819326976</v>
      </c>
      <c r="F589" s="12"/>
      <c r="G589" s="12"/>
      <c r="H589" s="12"/>
      <c r="I589" s="13">
        <v>0</v>
      </c>
      <c r="J589" s="13">
        <v>3</v>
      </c>
      <c r="K589" s="14" t="str">
        <f t="shared" ref="K589:K590" si="117">HYPERLINK("http://twitter.com/download/iphone","Twitter for iPhone")</f>
        <v>Twitter for iPhone</v>
      </c>
      <c r="L589" s="13">
        <v>1257</v>
      </c>
      <c r="M589" s="13">
        <v>307</v>
      </c>
      <c r="N589" s="13">
        <v>3</v>
      </c>
      <c r="O589" s="15"/>
      <c r="P589" s="6">
        <v>42256.692129629635</v>
      </c>
      <c r="Q589" s="16" t="s">
        <v>106</v>
      </c>
      <c r="R589" s="17" t="s">
        <v>1517</v>
      </c>
      <c r="S589" s="11" t="s">
        <v>1518</v>
      </c>
      <c r="T589" s="12"/>
      <c r="U589" s="10" t="str">
        <f>HYPERLINK("https://pbs.twimg.com/profile_images/1025445139689472000/qvz24dFt.jpg","View")</f>
        <v>View</v>
      </c>
    </row>
    <row r="590" spans="1:21" ht="20.399999999999999">
      <c r="A590" s="6">
        <v>43426.574259259258</v>
      </c>
      <c r="B590" s="7" t="str">
        <f>HYPERLINK("https://twitter.com/ohmyscarlett_","@ohmyscarlett_")</f>
        <v>@ohmyscarlett_</v>
      </c>
      <c r="C590" s="8" t="s">
        <v>3383</v>
      </c>
      <c r="D590" s="9" t="s">
        <v>3384</v>
      </c>
      <c r="E590" s="10" t="str">
        <f>HYPERLINK("https://twitter.com/ohmyscarlett_/status/1065587434296143872","1065587434296143872")</f>
        <v>1065587434296143872</v>
      </c>
      <c r="F590" s="12"/>
      <c r="G590" s="11" t="s">
        <v>3387</v>
      </c>
      <c r="H590" s="12"/>
      <c r="I590" s="13">
        <v>0</v>
      </c>
      <c r="J590" s="13">
        <v>3</v>
      </c>
      <c r="K590" s="14" t="str">
        <f t="shared" si="117"/>
        <v>Twitter for iPhone</v>
      </c>
      <c r="L590" s="13">
        <v>371</v>
      </c>
      <c r="M590" s="13">
        <v>347</v>
      </c>
      <c r="N590" s="13">
        <v>14</v>
      </c>
      <c r="O590" s="15"/>
      <c r="P590" s="6">
        <v>41442.683900462966</v>
      </c>
      <c r="Q590" s="16" t="s">
        <v>3389</v>
      </c>
      <c r="R590" s="17" t="s">
        <v>3390</v>
      </c>
      <c r="S590" s="12"/>
      <c r="T590" s="12"/>
      <c r="U590" s="10" t="str">
        <f>HYPERLINK("https://pbs.twimg.com/profile_images/1049038664037273607/ITscaNz2.jpg","View")</f>
        <v>View</v>
      </c>
    </row>
    <row r="591" spans="1:21" ht="91.8">
      <c r="A591" s="6">
        <v>43426.57413194445</v>
      </c>
      <c r="B591" s="7" t="str">
        <f>HYPERLINK("https://twitter.com/RuthIliana46","@RuthIliana46")</f>
        <v>@RuthIliana46</v>
      </c>
      <c r="C591" s="8" t="s">
        <v>437</v>
      </c>
      <c r="D591" s="9" t="s">
        <v>1519</v>
      </c>
      <c r="E591" s="10" t="str">
        <f>HYPERLINK("https://twitter.com/RuthIliana46/status/1065587386539827201","1065587386539827201")</f>
        <v>1065587386539827201</v>
      </c>
      <c r="F591" s="16" t="s">
        <v>1520</v>
      </c>
      <c r="G591" s="12"/>
      <c r="H591" s="12"/>
      <c r="I591" s="13">
        <v>6</v>
      </c>
      <c r="J591" s="13">
        <v>6</v>
      </c>
      <c r="K591" s="14" t="str">
        <f>HYPERLINK("http://twitter.com/download/android","Twitter for Android")</f>
        <v>Twitter for Android</v>
      </c>
      <c r="L591" s="13">
        <v>4287</v>
      </c>
      <c r="M591" s="13">
        <v>4178</v>
      </c>
      <c r="N591" s="13">
        <v>483</v>
      </c>
      <c r="O591" s="15"/>
      <c r="P591" s="6">
        <v>41235.80333333333</v>
      </c>
      <c r="Q591" s="16" t="s">
        <v>440</v>
      </c>
      <c r="R591" s="17" t="s">
        <v>441</v>
      </c>
      <c r="S591" s="11" t="s">
        <v>442</v>
      </c>
      <c r="T591" s="12"/>
      <c r="U591" s="10" t="str">
        <f>HYPERLINK("https://pbs.twimg.com/profile_images/976118533162721287/GaSph7A7.jpg","View")</f>
        <v>View</v>
      </c>
    </row>
    <row r="592" spans="1:21" ht="51">
      <c r="A592" s="6">
        <v>43426.573645833334</v>
      </c>
      <c r="B592" s="7" t="str">
        <f>HYPERLINK("https://twitter.com/CiudadanosCs","@CiudadanosCs")</f>
        <v>@CiudadanosCs</v>
      </c>
      <c r="C592" s="8" t="s">
        <v>196</v>
      </c>
      <c r="D592" s="9" t="s">
        <v>1524</v>
      </c>
      <c r="E592" s="10" t="str">
        <f>HYPERLINK("https://twitter.com/CiudadanosCs/status/1065587213289836545","1065587213289836545")</f>
        <v>1065587213289836545</v>
      </c>
      <c r="F592" s="12"/>
      <c r="G592" s="11" t="s">
        <v>1525</v>
      </c>
      <c r="H592" s="12"/>
      <c r="I592" s="13">
        <v>82</v>
      </c>
      <c r="J592" s="13">
        <v>124</v>
      </c>
      <c r="K592" s="14" t="str">
        <f>HYPERLINK("https://studio.twitter.com","Media Studio")</f>
        <v>Media Studio</v>
      </c>
      <c r="L592" s="13">
        <v>486503</v>
      </c>
      <c r="M592" s="13">
        <v>93653</v>
      </c>
      <c r="N592" s="13">
        <v>3318</v>
      </c>
      <c r="O592" s="18" t="s">
        <v>36</v>
      </c>
      <c r="P592" s="6">
        <v>39828.753460648149</v>
      </c>
      <c r="Q592" s="16" t="s">
        <v>37</v>
      </c>
      <c r="R592" s="17" t="s">
        <v>202</v>
      </c>
      <c r="S592" s="11" t="s">
        <v>203</v>
      </c>
      <c r="T592" s="12"/>
      <c r="U592" s="10" t="str">
        <f>HYPERLINK("https://pbs.twimg.com/profile_images/1053554096161075200/1z77_zBZ.jpg","View")</f>
        <v>View</v>
      </c>
    </row>
    <row r="593" spans="1:21" ht="30.6">
      <c r="A593" s="6">
        <v>43426.567986111113</v>
      </c>
      <c r="B593" s="7" t="str">
        <f>HYPERLINK("https://twitter.com/Capdesurobis","@Capdesurobis")</f>
        <v>@Capdesurobis</v>
      </c>
      <c r="C593" s="8" t="s">
        <v>3392</v>
      </c>
      <c r="D593" s="9" t="s">
        <v>3393</v>
      </c>
      <c r="E593" s="10" t="str">
        <f>HYPERLINK("https://twitter.com/Capdesurobis/status/1065585161696436224","1065585161696436224")</f>
        <v>1065585161696436224</v>
      </c>
      <c r="F593" s="11" t="s">
        <v>1617</v>
      </c>
      <c r="G593" s="12"/>
      <c r="H593" s="12"/>
      <c r="I593" s="13">
        <v>1</v>
      </c>
      <c r="J593" s="13">
        <v>1</v>
      </c>
      <c r="K593" s="14" t="str">
        <f>HYPERLINK("http://twitter.com","Twitter Web Client")</f>
        <v>Twitter Web Client</v>
      </c>
      <c r="L593" s="13">
        <v>1260</v>
      </c>
      <c r="M593" s="13">
        <v>1404</v>
      </c>
      <c r="N593" s="13">
        <v>2</v>
      </c>
      <c r="O593" s="15"/>
      <c r="P593" s="6">
        <v>42981.56621527778</v>
      </c>
      <c r="Q593" s="12"/>
      <c r="R593" s="17" t="s">
        <v>3394</v>
      </c>
      <c r="S593" s="12"/>
      <c r="T593" s="12"/>
      <c r="U593" s="10" t="str">
        <f>HYPERLINK("https://pbs.twimg.com/profile_images/904726881471258625/NF3Z560I.jpg","View")</f>
        <v>View</v>
      </c>
    </row>
    <row r="594" spans="1:21" ht="40.799999999999997">
      <c r="A594" s="6">
        <v>43426.565983796296</v>
      </c>
      <c r="B594" s="7" t="str">
        <f>HYPERLINK("https://twitter.com/La_Cerca","@La_Cerca")</f>
        <v>@La_Cerca</v>
      </c>
      <c r="C594" s="8" t="s">
        <v>167</v>
      </c>
      <c r="D594" s="9" t="s">
        <v>1530</v>
      </c>
      <c r="E594" s="10" t="str">
        <f>HYPERLINK("https://twitter.com/La_Cerca/status/1065584434886389764","1065584434886389764")</f>
        <v>1065584434886389764</v>
      </c>
      <c r="F594" s="11" t="s">
        <v>1531</v>
      </c>
      <c r="G594" s="12"/>
      <c r="H594" s="12"/>
      <c r="I594" s="13">
        <v>0</v>
      </c>
      <c r="J594" s="13">
        <v>0</v>
      </c>
      <c r="K594" s="14" t="str">
        <f>HYPERLINK("http://www.lacerca.com","La Cerca")</f>
        <v>La Cerca</v>
      </c>
      <c r="L594" s="13">
        <v>18963</v>
      </c>
      <c r="M594" s="13">
        <v>4967</v>
      </c>
      <c r="N594" s="13">
        <v>336</v>
      </c>
      <c r="O594" s="18" t="s">
        <v>36</v>
      </c>
      <c r="P594" s="6">
        <v>40007.429652777777</v>
      </c>
      <c r="Q594" s="16" t="s">
        <v>171</v>
      </c>
      <c r="R594" s="17" t="s">
        <v>172</v>
      </c>
      <c r="S594" s="11" t="s">
        <v>173</v>
      </c>
      <c r="T594" s="12"/>
      <c r="U594" s="10" t="str">
        <f>HYPERLINK("https://pbs.twimg.com/profile_images/1046758213843111937/MFsiNfy0.jpg","View")</f>
        <v>View</v>
      </c>
    </row>
    <row r="595" spans="1:21" ht="51">
      <c r="A595" s="6">
        <v>43426.565462962964</v>
      </c>
      <c r="B595" s="7" t="str">
        <f>HYPERLINK("https://twitter.com/enol_nje","@enol_nje")</f>
        <v>@enol_nje</v>
      </c>
      <c r="C595" s="8" t="s">
        <v>3399</v>
      </c>
      <c r="D595" s="9" t="s">
        <v>3400</v>
      </c>
      <c r="E595" s="10" t="str">
        <f>HYPERLINK("https://twitter.com/enol_nje/status/1065584244750204930","1065584244750204930")</f>
        <v>1065584244750204930</v>
      </c>
      <c r="F595" s="12"/>
      <c r="G595" s="12"/>
      <c r="H595" s="12"/>
      <c r="I595" s="13">
        <v>1</v>
      </c>
      <c r="J595" s="13">
        <v>1</v>
      </c>
      <c r="K595" s="14" t="str">
        <f t="shared" ref="K595:K596" si="118">HYPERLINK("http://twitter.com/download/android","Twitter for Android")</f>
        <v>Twitter for Android</v>
      </c>
      <c r="L595" s="13">
        <v>377</v>
      </c>
      <c r="M595" s="13">
        <v>490</v>
      </c>
      <c r="N595" s="13">
        <v>2</v>
      </c>
      <c r="O595" s="15"/>
      <c r="P595" s="6">
        <v>41891.993750000001</v>
      </c>
      <c r="Q595" s="12"/>
      <c r="R595" s="17" t="s">
        <v>3403</v>
      </c>
      <c r="S595" s="12"/>
      <c r="T595" s="12"/>
      <c r="U595" s="10" t="str">
        <f>HYPERLINK("https://pbs.twimg.com/profile_images/867670775469355008/xI4_A8Fy.jpg","View")</f>
        <v>View</v>
      </c>
    </row>
    <row r="596" spans="1:21" ht="40.799999999999997">
      <c r="A596" s="6">
        <v>43426.565185185187</v>
      </c>
      <c r="B596" s="7" t="str">
        <f>HYPERLINK("https://twitter.com/Sergialex22","@Sergialex22")</f>
        <v>@Sergialex22</v>
      </c>
      <c r="C596" s="8" t="s">
        <v>3405</v>
      </c>
      <c r="D596" s="9" t="s">
        <v>2830</v>
      </c>
      <c r="E596" s="10" t="str">
        <f>HYPERLINK("https://twitter.com/Sergialex22/status/1065584143311011840","1065584143311011840")</f>
        <v>1065584143311011840</v>
      </c>
      <c r="F596" s="11" t="s">
        <v>1388</v>
      </c>
      <c r="G596" s="12"/>
      <c r="H596" s="12"/>
      <c r="I596" s="13">
        <v>0</v>
      </c>
      <c r="J596" s="13">
        <v>0</v>
      </c>
      <c r="K596" s="14" t="str">
        <f t="shared" si="118"/>
        <v>Twitter for Android</v>
      </c>
      <c r="L596" s="13">
        <v>1161</v>
      </c>
      <c r="M596" s="13">
        <v>895</v>
      </c>
      <c r="N596" s="13">
        <v>10</v>
      </c>
      <c r="O596" s="15"/>
      <c r="P596" s="6">
        <v>41531.770844907405</v>
      </c>
      <c r="Q596" s="16" t="s">
        <v>75</v>
      </c>
      <c r="R596" s="17" t="s">
        <v>3407</v>
      </c>
      <c r="S596" s="11" t="s">
        <v>3409</v>
      </c>
      <c r="T596" s="12"/>
      <c r="U596" s="10" t="str">
        <f>HYPERLINK("https://pbs.twimg.com/profile_images/1041624242641666048/TT2foysn.jpg","View")</f>
        <v>View</v>
      </c>
    </row>
    <row r="597" spans="1:21" ht="20.399999999999999">
      <c r="A597" s="6">
        <v>43426.564664351856</v>
      </c>
      <c r="B597" s="7" t="str">
        <f>HYPERLINK("https://twitter.com/titulares24hora","@titulares24hora")</f>
        <v>@titulares24hora</v>
      </c>
      <c r="C597" s="8" t="s">
        <v>3413</v>
      </c>
      <c r="D597" s="9" t="s">
        <v>1465</v>
      </c>
      <c r="E597" s="10" t="str">
        <f>HYPERLINK("https://twitter.com/titulares24hora/status/1065583957566201858","1065583957566201858")</f>
        <v>1065583957566201858</v>
      </c>
      <c r="F597" s="12"/>
      <c r="G597" s="12"/>
      <c r="H597" s="12"/>
      <c r="I597" s="13">
        <v>0</v>
      </c>
      <c r="J597" s="13">
        <v>0</v>
      </c>
      <c r="K597" s="14" t="str">
        <f t="shared" ref="K597:K598" si="119">HYPERLINK("https://ifttt.com","IFTTT")</f>
        <v>IFTTT</v>
      </c>
      <c r="L597" s="13">
        <v>394</v>
      </c>
      <c r="M597" s="13">
        <v>1463</v>
      </c>
      <c r="N597" s="13">
        <v>2</v>
      </c>
      <c r="O597" s="15"/>
      <c r="P597" s="6">
        <v>42508.446805555555</v>
      </c>
      <c r="Q597" s="12"/>
      <c r="R597" s="17" t="s">
        <v>3417</v>
      </c>
      <c r="S597" s="12"/>
      <c r="T597" s="12"/>
      <c r="U597" s="10" t="str">
        <f>HYPERLINK("https://pbs.twimg.com/profile_images/732855169034166272/A8O2LY2J.jpg","View")</f>
        <v>View</v>
      </c>
    </row>
    <row r="598" spans="1:21" ht="20.399999999999999">
      <c r="A598" s="6">
        <v>43426.564525462964</v>
      </c>
      <c r="B598" s="7" t="str">
        <f>HYPERLINK("https://twitter.com/adelacafe93","@adelacafe93")</f>
        <v>@adelacafe93</v>
      </c>
      <c r="C598" s="8" t="s">
        <v>3418</v>
      </c>
      <c r="D598" s="9" t="s">
        <v>1465</v>
      </c>
      <c r="E598" s="10" t="str">
        <f>HYPERLINK("https://twitter.com/adelacafe93/status/1065583908262199301","1065583908262199301")</f>
        <v>1065583908262199301</v>
      </c>
      <c r="F598" s="11" t="s">
        <v>3421</v>
      </c>
      <c r="G598" s="12"/>
      <c r="H598" s="12"/>
      <c r="I598" s="13">
        <v>0</v>
      </c>
      <c r="J598" s="13">
        <v>0</v>
      </c>
      <c r="K598" s="14" t="str">
        <f t="shared" si="119"/>
        <v>IFTTT</v>
      </c>
      <c r="L598" s="13">
        <v>18</v>
      </c>
      <c r="M598" s="13">
        <v>47</v>
      </c>
      <c r="N598" s="13">
        <v>0</v>
      </c>
      <c r="O598" s="15"/>
      <c r="P598" s="6">
        <v>42761.615034722221</v>
      </c>
      <c r="Q598" s="16" t="s">
        <v>2572</v>
      </c>
      <c r="R598" s="17" t="s">
        <v>3422</v>
      </c>
      <c r="S598" s="12"/>
      <c r="T598" s="12"/>
      <c r="U598" s="10" t="str">
        <f>HYPERLINK("https://pbs.twimg.com/profile_images/824614694078013444/fkDV_Y0Z.jpg","View")</f>
        <v>View</v>
      </c>
    </row>
    <row r="599" spans="1:21" ht="91.8">
      <c r="A599" s="6">
        <v>43426.564386574071</v>
      </c>
      <c r="B599" s="7" t="str">
        <f>HYPERLINK("https://twitter.com/RuthIliana46","@RuthIliana46")</f>
        <v>@RuthIliana46</v>
      </c>
      <c r="C599" s="8" t="s">
        <v>437</v>
      </c>
      <c r="D599" s="9" t="s">
        <v>1532</v>
      </c>
      <c r="E599" s="10" t="str">
        <f>HYPERLINK("https://twitter.com/RuthIliana46/status/1065583854407348224","1065583854407348224")</f>
        <v>1065583854407348224</v>
      </c>
      <c r="F599" s="16" t="s">
        <v>1533</v>
      </c>
      <c r="G599" s="12"/>
      <c r="H599" s="12"/>
      <c r="I599" s="13">
        <v>6</v>
      </c>
      <c r="J599" s="13">
        <v>6</v>
      </c>
      <c r="K599" s="14" t="str">
        <f>HYPERLINK("http://twitter.com/download/android","Twitter for Android")</f>
        <v>Twitter for Android</v>
      </c>
      <c r="L599" s="13">
        <v>4287</v>
      </c>
      <c r="M599" s="13">
        <v>4178</v>
      </c>
      <c r="N599" s="13">
        <v>483</v>
      </c>
      <c r="O599" s="15"/>
      <c r="P599" s="6">
        <v>41235.80333333333</v>
      </c>
      <c r="Q599" s="16" t="s">
        <v>440</v>
      </c>
      <c r="R599" s="17" t="s">
        <v>441</v>
      </c>
      <c r="S599" s="11" t="s">
        <v>442</v>
      </c>
      <c r="T599" s="12"/>
      <c r="U599" s="10" t="str">
        <f>HYPERLINK("https://pbs.twimg.com/profile_images/976118533162721287/GaSph7A7.jpg","View")</f>
        <v>View</v>
      </c>
    </row>
    <row r="600" spans="1:21" ht="30.6">
      <c r="A600" s="6">
        <v>43426.564143518517</v>
      </c>
      <c r="B600" s="7" t="str">
        <f>HYPERLINK("https://twitter.com/Rojillo2018","@Rojillo2018")</f>
        <v>@Rojillo2018</v>
      </c>
      <c r="C600" s="8" t="s">
        <v>3429</v>
      </c>
      <c r="D600" s="9" t="s">
        <v>3430</v>
      </c>
      <c r="E600" s="10" t="str">
        <f>HYPERLINK("https://twitter.com/Rojillo2018/status/1065583768348561408","1065583768348561408")</f>
        <v>1065583768348561408</v>
      </c>
      <c r="F600" s="12"/>
      <c r="G600" s="11" t="s">
        <v>3432</v>
      </c>
      <c r="H600" s="12"/>
      <c r="I600" s="13">
        <v>0</v>
      </c>
      <c r="J600" s="13">
        <v>1</v>
      </c>
      <c r="K600" s="14" t="str">
        <f>HYPERLINK("http://twitter.com","Twitter Web Client")</f>
        <v>Twitter Web Client</v>
      </c>
      <c r="L600" s="13">
        <v>449</v>
      </c>
      <c r="M600" s="13">
        <v>1034</v>
      </c>
      <c r="N600" s="13">
        <v>1</v>
      </c>
      <c r="O600" s="15"/>
      <c r="P600" s="6">
        <v>43416.63175925926</v>
      </c>
      <c r="Q600" s="16" t="s">
        <v>3433</v>
      </c>
      <c r="R600" s="17" t="s">
        <v>3434</v>
      </c>
      <c r="S600" s="12"/>
      <c r="T600" s="12"/>
      <c r="U600" s="10" t="str">
        <f>HYPERLINK("https://pbs.twimg.com/profile_images/1063905639091642369/tNutwQbh.jpg","View")</f>
        <v>View</v>
      </c>
    </row>
    <row r="601" spans="1:21" ht="40.799999999999997">
      <c r="A601" s="6">
        <v>43426.562604166669</v>
      </c>
      <c r="B601" s="7" t="str">
        <f>HYPERLINK("https://twitter.com/elnacionalcat_e","@elnacionalcat_e")</f>
        <v>@elnacionalcat_e</v>
      </c>
      <c r="C601" s="8" t="s">
        <v>1368</v>
      </c>
      <c r="D601" s="9" t="s">
        <v>3435</v>
      </c>
      <c r="E601" s="10" t="str">
        <f>HYPERLINK("https://twitter.com/elnacionalcat_e/status/1065583208341913600","1065583208341913600")</f>
        <v>1065583208341913600</v>
      </c>
      <c r="F601" s="11" t="s">
        <v>1193</v>
      </c>
      <c r="G601" s="12"/>
      <c r="H601" s="12"/>
      <c r="I601" s="13">
        <v>1</v>
      </c>
      <c r="J601" s="13">
        <v>1</v>
      </c>
      <c r="K601" s="14" t="str">
        <f>HYPERLINK("http://www.wearebab.com","Comitium5 BAB")</f>
        <v>Comitium5 BAB</v>
      </c>
      <c r="L601" s="13">
        <v>5489</v>
      </c>
      <c r="M601" s="13">
        <v>355</v>
      </c>
      <c r="N601" s="13">
        <v>167</v>
      </c>
      <c r="O601" s="15"/>
      <c r="P601" s="6">
        <v>42247.840567129635</v>
      </c>
      <c r="Q601" s="16" t="s">
        <v>421</v>
      </c>
      <c r="R601" s="17" t="s">
        <v>1374</v>
      </c>
      <c r="S601" s="11" t="s">
        <v>1375</v>
      </c>
      <c r="T601" s="12"/>
      <c r="U601" s="10" t="str">
        <f>HYPERLINK("https://pbs.twimg.com/profile_images/646298514385960960/VEutSP7L.png","View")</f>
        <v>View</v>
      </c>
    </row>
    <row r="602" spans="1:21" ht="30.6">
      <c r="A602" s="6">
        <v>43426.561712962968</v>
      </c>
      <c r="B602" s="7" t="str">
        <f>HYPERLINK("https://twitter.com/pordoneze","@pordoneze")</f>
        <v>@pordoneze</v>
      </c>
      <c r="C602" s="8" t="s">
        <v>3438</v>
      </c>
      <c r="D602" s="9" t="s">
        <v>2830</v>
      </c>
      <c r="E602" s="10" t="str">
        <f>HYPERLINK("https://twitter.com/pordoneze/status/1065582888840761345","1065582888840761345")</f>
        <v>1065582888840761345</v>
      </c>
      <c r="F602" s="11" t="s">
        <v>1388</v>
      </c>
      <c r="G602" s="12"/>
      <c r="H602" s="12"/>
      <c r="I602" s="13">
        <v>0</v>
      </c>
      <c r="J602" s="13">
        <v>0</v>
      </c>
      <c r="K602" s="14" t="str">
        <f>HYPERLINK("http://twitter.com","Twitter Web Client")</f>
        <v>Twitter Web Client</v>
      </c>
      <c r="L602" s="13">
        <v>230</v>
      </c>
      <c r="M602" s="13">
        <v>622</v>
      </c>
      <c r="N602" s="13">
        <v>6</v>
      </c>
      <c r="O602" s="15"/>
      <c r="P602" s="6">
        <v>40394.543206018519</v>
      </c>
      <c r="Q602" s="16" t="s">
        <v>75</v>
      </c>
      <c r="R602" s="17" t="s">
        <v>3442</v>
      </c>
      <c r="S602" s="12"/>
      <c r="T602" s="12"/>
      <c r="U602" s="10" t="str">
        <f>HYPERLINK("https://pbs.twimg.com/profile_images/1042169465486532609/VbS7UoN2.jpg","View")</f>
        <v>View</v>
      </c>
    </row>
    <row r="603" spans="1:21" ht="81.599999999999994">
      <c r="A603" s="6">
        <v>43426.560891203699</v>
      </c>
      <c r="B603" s="7" t="str">
        <f>HYPERLINK("https://twitter.com/salva_dos","@salva_dos")</f>
        <v>@salva_dos</v>
      </c>
      <c r="C603" s="8" t="s">
        <v>1537</v>
      </c>
      <c r="D603" s="9" t="s">
        <v>1540</v>
      </c>
      <c r="E603" s="10" t="str">
        <f>HYPERLINK("https://twitter.com/salva_dos/status/1065582589338099712","1065582589338099712")</f>
        <v>1065582589338099712</v>
      </c>
      <c r="F603" s="11" t="s">
        <v>962</v>
      </c>
      <c r="G603" s="11" t="s">
        <v>963</v>
      </c>
      <c r="H603" s="12"/>
      <c r="I603" s="13">
        <v>0</v>
      </c>
      <c r="J603" s="13">
        <v>0</v>
      </c>
      <c r="K603" s="14" t="str">
        <f>HYPERLINK("http://twitter.com/download/android","Twitter for Android")</f>
        <v>Twitter for Android</v>
      </c>
      <c r="L603" s="13">
        <v>331</v>
      </c>
      <c r="M603" s="13">
        <v>1197</v>
      </c>
      <c r="N603" s="13">
        <v>5</v>
      </c>
      <c r="O603" s="15"/>
      <c r="P603" s="6">
        <v>41151.620729166665</v>
      </c>
      <c r="Q603" s="16" t="s">
        <v>1541</v>
      </c>
      <c r="R603" s="17" t="s">
        <v>1542</v>
      </c>
      <c r="S603" s="12"/>
      <c r="T603" s="12"/>
      <c r="U603" s="10" t="str">
        <f>HYPERLINK("https://pbs.twimg.com/profile_images/423057856108036096/hT7DRGhR.jpeg","View")</f>
        <v>View</v>
      </c>
    </row>
    <row r="604" spans="1:21" ht="40.799999999999997">
      <c r="A604" s="6">
        <v>43426.56049768519</v>
      </c>
      <c r="B604" s="7" t="str">
        <f>HYPERLINK("https://twitter.com/ElMundoEspana","@ElMundoEspana")</f>
        <v>@ElMundoEspana</v>
      </c>
      <c r="C604" s="8" t="s">
        <v>3445</v>
      </c>
      <c r="D604" s="9" t="s">
        <v>1465</v>
      </c>
      <c r="E604" s="10" t="str">
        <f>HYPERLINK("https://twitter.com/ElMundoEspana/status/1065582445473480704","1065582445473480704")</f>
        <v>1065582445473480704</v>
      </c>
      <c r="F604" s="11" t="s">
        <v>635</v>
      </c>
      <c r="G604" s="12"/>
      <c r="H604" s="12"/>
      <c r="I604" s="13">
        <v>2</v>
      </c>
      <c r="J604" s="13">
        <v>4</v>
      </c>
      <c r="K604" s="14" t="str">
        <f t="shared" ref="K604:K605" si="120">HYPERLINK("http://twitter.com","Twitter Web Client")</f>
        <v>Twitter Web Client</v>
      </c>
      <c r="L604" s="13">
        <v>17966</v>
      </c>
      <c r="M604" s="13">
        <v>654</v>
      </c>
      <c r="N604" s="13">
        <v>352</v>
      </c>
      <c r="O604" s="18" t="s">
        <v>36</v>
      </c>
      <c r="P604" s="6">
        <v>42089.415439814809</v>
      </c>
      <c r="Q604" s="12"/>
      <c r="R604" s="17" t="s">
        <v>3447</v>
      </c>
      <c r="S604" s="11" t="s">
        <v>3448</v>
      </c>
      <c r="T604" s="12"/>
      <c r="U604" s="10" t="str">
        <f>HYPERLINK("https://pbs.twimg.com/profile_images/780431237555032064/H6v83dkC.jpg","View")</f>
        <v>View</v>
      </c>
    </row>
    <row r="605" spans="1:21" ht="20.399999999999999">
      <c r="A605" s="6">
        <v>43426.559467592597</v>
      </c>
      <c r="B605" s="7" t="str">
        <f>HYPERLINK("https://twitter.com/amanrique1","@amanrique1")</f>
        <v>@amanrique1</v>
      </c>
      <c r="C605" s="8" t="s">
        <v>3450</v>
      </c>
      <c r="D605" s="9" t="s">
        <v>3451</v>
      </c>
      <c r="E605" s="10" t="str">
        <f>HYPERLINK("https://twitter.com/amanrique1/status/1065582072616628224","1065582072616628224")</f>
        <v>1065582072616628224</v>
      </c>
      <c r="F605" s="11" t="s">
        <v>1388</v>
      </c>
      <c r="G605" s="12"/>
      <c r="H605" s="12"/>
      <c r="I605" s="13">
        <v>0</v>
      </c>
      <c r="J605" s="13">
        <v>1</v>
      </c>
      <c r="K605" s="14" t="str">
        <f t="shared" si="120"/>
        <v>Twitter Web Client</v>
      </c>
      <c r="L605" s="13">
        <v>184</v>
      </c>
      <c r="M605" s="13">
        <v>149</v>
      </c>
      <c r="N605" s="13">
        <v>6</v>
      </c>
      <c r="O605" s="15"/>
      <c r="P605" s="6">
        <v>40278.442291666666</v>
      </c>
      <c r="Q605" s="12"/>
      <c r="R605" s="19"/>
      <c r="S605" s="12"/>
      <c r="T605" s="12"/>
      <c r="U605" s="10" t="str">
        <f>HYPERLINK("https://pbs.twimg.com/profile_images/915969553242447873/kPG9Fr8J.jpg","View")</f>
        <v>View</v>
      </c>
    </row>
    <row r="606" spans="1:21" ht="40.799999999999997">
      <c r="A606" s="6">
        <v>43426.559027777781</v>
      </c>
      <c r="B606" s="7" t="str">
        <f>HYPERLINK("https://twitter.com/europapress_tv","@europapress_tv")</f>
        <v>@europapress_tv</v>
      </c>
      <c r="C606" s="8" t="s">
        <v>1543</v>
      </c>
      <c r="D606" s="9" t="s">
        <v>1544</v>
      </c>
      <c r="E606" s="10" t="str">
        <f>HYPERLINK("https://twitter.com/europapress_tv/status/1065581913530949632","1065581913530949632")</f>
        <v>1065581913530949632</v>
      </c>
      <c r="F606" s="12"/>
      <c r="G606" s="11" t="s">
        <v>1545</v>
      </c>
      <c r="H606" s="12"/>
      <c r="I606" s="13">
        <v>0</v>
      </c>
      <c r="J606" s="13">
        <v>0</v>
      </c>
      <c r="K606" s="14" t="str">
        <f>HYPERLINK("https://studio.twitter.com","Media Studio")</f>
        <v>Media Studio</v>
      </c>
      <c r="L606" s="13">
        <v>10431</v>
      </c>
      <c r="M606" s="13">
        <v>447</v>
      </c>
      <c r="N606" s="13">
        <v>229</v>
      </c>
      <c r="O606" s="18" t="s">
        <v>36</v>
      </c>
      <c r="P606" s="6">
        <v>41087.506342592591</v>
      </c>
      <c r="Q606" s="16" t="s">
        <v>37</v>
      </c>
      <c r="R606" s="17" t="s">
        <v>1548</v>
      </c>
      <c r="S606" s="11" t="s">
        <v>1549</v>
      </c>
      <c r="T606" s="12"/>
      <c r="U606" s="10" t="str">
        <f>HYPERLINK("https://pbs.twimg.com/profile_images/520566141542887424/kS5nICev.jpeg","View")</f>
        <v>View</v>
      </c>
    </row>
    <row r="607" spans="1:21" ht="102">
      <c r="A607" s="6">
        <v>43426.556793981479</v>
      </c>
      <c r="B607" s="7" t="str">
        <f>HYPERLINK("https://twitter.com/VivasMattera10","@VivasMattera10")</f>
        <v>@VivasMattera10</v>
      </c>
      <c r="C607" s="8" t="s">
        <v>1552</v>
      </c>
      <c r="D607" s="9" t="s">
        <v>1553</v>
      </c>
      <c r="E607" s="10" t="str">
        <f>HYPERLINK("https://twitter.com/VivasMattera10/status/1065581102901932032","1065581102901932032")</f>
        <v>1065581102901932032</v>
      </c>
      <c r="F607" s="16" t="s">
        <v>1554</v>
      </c>
      <c r="G607" s="12"/>
      <c r="H607" s="12"/>
      <c r="I607" s="13">
        <v>0</v>
      </c>
      <c r="J607" s="13">
        <v>0</v>
      </c>
      <c r="K607" s="14" t="str">
        <f>HYPERLINK("http://twitter.com/download/android","Twitter for Android")</f>
        <v>Twitter for Android</v>
      </c>
      <c r="L607" s="13">
        <v>5212</v>
      </c>
      <c r="M607" s="13">
        <v>4073</v>
      </c>
      <c r="N607" s="13">
        <v>61</v>
      </c>
      <c r="O607" s="15"/>
      <c r="P607" s="6">
        <v>40219.834513888891</v>
      </c>
      <c r="Q607" s="12"/>
      <c r="R607" s="17" t="s">
        <v>1557</v>
      </c>
      <c r="S607" s="12"/>
      <c r="T607" s="12"/>
      <c r="U607" s="10" t="str">
        <f>HYPERLINK("https://pbs.twimg.com/profile_images/1013488496055668736/zX_qOkYj.jpg","View")</f>
        <v>View</v>
      </c>
    </row>
    <row r="608" spans="1:21" ht="51">
      <c r="A608" s="6">
        <v>43426.555115740739</v>
      </c>
      <c r="B608" s="7" t="str">
        <f>HYPERLINK("https://twitter.com/Albert_Rivera","@Albert_Rivera")</f>
        <v>@Albert_Rivera</v>
      </c>
      <c r="C608" s="8" t="s">
        <v>389</v>
      </c>
      <c r="D608" s="9" t="s">
        <v>3469</v>
      </c>
      <c r="E608" s="10" t="str">
        <f>HYPERLINK("https://twitter.com/Albert_Rivera/status/1065580497613537281","1065580497613537281")</f>
        <v>1065580497613537281</v>
      </c>
      <c r="F608" s="12"/>
      <c r="G608" s="11" t="s">
        <v>963</v>
      </c>
      <c r="H608" s="12"/>
      <c r="I608" s="13">
        <v>841</v>
      </c>
      <c r="J608" s="13">
        <v>1667</v>
      </c>
      <c r="K608" s="14" t="str">
        <f>HYPERLINK("http://twitter.com/download/iphone","Twitter for iPhone")</f>
        <v>Twitter for iPhone</v>
      </c>
      <c r="L608" s="13">
        <v>1071530</v>
      </c>
      <c r="M608" s="13">
        <v>2545</v>
      </c>
      <c r="N608" s="13">
        <v>5104</v>
      </c>
      <c r="O608" s="18" t="s">
        <v>36</v>
      </c>
      <c r="P608" s="6">
        <v>40205.748171296298</v>
      </c>
      <c r="Q608" s="16" t="s">
        <v>37</v>
      </c>
      <c r="R608" s="17" t="s">
        <v>393</v>
      </c>
      <c r="S608" s="11" t="s">
        <v>394</v>
      </c>
      <c r="T608" s="12"/>
      <c r="U608" s="10" t="str">
        <f>HYPERLINK("https://pbs.twimg.com/profile_images/1030708936779988993/RncDM4EZ.jpg","View")</f>
        <v>View</v>
      </c>
    </row>
    <row r="609" spans="1:21" ht="20.399999999999999">
      <c r="A609" s="6">
        <v>43426.555115740739</v>
      </c>
      <c r="B609" s="7" t="str">
        <f>HYPERLINK("https://twitter.com/NoticieroUniv","@NoticieroUniv")</f>
        <v>@NoticieroUniv</v>
      </c>
      <c r="C609" s="8" t="s">
        <v>1899</v>
      </c>
      <c r="D609" s="9" t="s">
        <v>3472</v>
      </c>
      <c r="E609" s="10" t="str">
        <f>HYPERLINK("https://twitter.com/NoticieroUniv/status/1065580495226974208","1065580495226974208")</f>
        <v>1065580495226974208</v>
      </c>
      <c r="F609" s="11" t="s">
        <v>3477</v>
      </c>
      <c r="G609" s="12"/>
      <c r="H609" s="12"/>
      <c r="I609" s="13">
        <v>0</v>
      </c>
      <c r="J609" s="13">
        <v>0</v>
      </c>
      <c r="K609" s="14" t="str">
        <f>HYPERLINK("https://noticierouniversal.com/","NoticieroUniversal")</f>
        <v>NoticieroUniversal</v>
      </c>
      <c r="L609" s="13">
        <v>1080</v>
      </c>
      <c r="M609" s="13">
        <v>36</v>
      </c>
      <c r="N609" s="13">
        <v>21</v>
      </c>
      <c r="O609" s="15"/>
      <c r="P609" s="6">
        <v>42402.547939814816</v>
      </c>
      <c r="Q609" s="16" t="s">
        <v>207</v>
      </c>
      <c r="R609" s="17" t="s">
        <v>1906</v>
      </c>
      <c r="S609" s="11" t="s">
        <v>1907</v>
      </c>
      <c r="T609" s="12"/>
      <c r="U609" s="10" t="str">
        <f>HYPERLINK("https://pbs.twimg.com/profile_images/719648419925594113/OnR0XNMn.jpg","View")</f>
        <v>View</v>
      </c>
    </row>
    <row r="610" spans="1:21" ht="71.400000000000006">
      <c r="A610" s="6">
        <v>43426.554710648154</v>
      </c>
      <c r="B610" s="7" t="str">
        <f>HYPERLINK("https://twitter.com/PilladoMon","@PilladoMon")</f>
        <v>@PilladoMon</v>
      </c>
      <c r="C610" s="8" t="s">
        <v>1563</v>
      </c>
      <c r="D610" s="9" t="s">
        <v>1564</v>
      </c>
      <c r="E610" s="10" t="str">
        <f>HYPERLINK("https://twitter.com/PilladoMon/status/1065580348627738624","1065580348627738624")</f>
        <v>1065580348627738624</v>
      </c>
      <c r="F610" s="16" t="s">
        <v>1565</v>
      </c>
      <c r="G610" s="12"/>
      <c r="H610" s="12"/>
      <c r="I610" s="13">
        <v>0</v>
      </c>
      <c r="J610" s="13">
        <v>0</v>
      </c>
      <c r="K610" s="14" t="str">
        <f t="shared" ref="K610:K611" si="121">HYPERLINK("http://twitter.com/download/android","Twitter for Android")</f>
        <v>Twitter for Android</v>
      </c>
      <c r="L610" s="13">
        <v>519</v>
      </c>
      <c r="M610" s="13">
        <v>882</v>
      </c>
      <c r="N610" s="13">
        <v>1</v>
      </c>
      <c r="O610" s="15"/>
      <c r="P610" s="6">
        <v>41418.44971064815</v>
      </c>
      <c r="Q610" s="16" t="s">
        <v>1568</v>
      </c>
      <c r="R610" s="17" t="s">
        <v>1569</v>
      </c>
      <c r="S610" s="12"/>
      <c r="T610" s="12"/>
      <c r="U610" s="10" t="str">
        <f>HYPERLINK("https://pbs.twimg.com/profile_images/843859366432464896/0ea-DHjz.jpg","View")</f>
        <v>View</v>
      </c>
    </row>
    <row r="611" spans="1:21" ht="20.399999999999999">
      <c r="A611" s="6">
        <v>43426.554375</v>
      </c>
      <c r="B611" s="7" t="str">
        <f>HYPERLINK("https://twitter.com/JanBuesa","@JanBuesa")</f>
        <v>@JanBuesa</v>
      </c>
      <c r="C611" s="8" t="s">
        <v>3488</v>
      </c>
      <c r="D611" s="9" t="s">
        <v>2830</v>
      </c>
      <c r="E611" s="10" t="str">
        <f>HYPERLINK("https://twitter.com/JanBuesa/status/1065580228523827202","1065580228523827202")</f>
        <v>1065580228523827202</v>
      </c>
      <c r="F611" s="11" t="s">
        <v>1388</v>
      </c>
      <c r="G611" s="12"/>
      <c r="H611" s="12"/>
      <c r="I611" s="13">
        <v>2</v>
      </c>
      <c r="J611" s="13">
        <v>0</v>
      </c>
      <c r="K611" s="14" t="str">
        <f t="shared" si="121"/>
        <v>Twitter for Android</v>
      </c>
      <c r="L611" s="13">
        <v>130</v>
      </c>
      <c r="M611" s="13">
        <v>213</v>
      </c>
      <c r="N611" s="13">
        <v>0</v>
      </c>
      <c r="O611" s="15"/>
      <c r="P611" s="6">
        <v>40817.581921296296</v>
      </c>
      <c r="Q611" s="16" t="s">
        <v>3491</v>
      </c>
      <c r="R611" s="17" t="s">
        <v>3492</v>
      </c>
      <c r="S611" s="12"/>
      <c r="T611" s="12"/>
      <c r="U611" s="10" t="str">
        <f>HYPERLINK("https://pbs.twimg.com/profile_images/1016463234025615360/ZwwdtI1u.jpg","View")</f>
        <v>View</v>
      </c>
    </row>
    <row r="612" spans="1:21" ht="40.799999999999997">
      <c r="A612" s="6">
        <v>43426.553483796291</v>
      </c>
      <c r="B612" s="7" t="str">
        <f>HYPERLINK("https://twitter.com/Servimedia","@Servimedia")</f>
        <v>@Servimedia</v>
      </c>
      <c r="C612" s="8" t="s">
        <v>1570</v>
      </c>
      <c r="D612" s="9" t="s">
        <v>1571</v>
      </c>
      <c r="E612" s="10" t="str">
        <f>HYPERLINK("https://twitter.com/Servimedia/status/1065579906015395840","1065579906015395840")</f>
        <v>1065579906015395840</v>
      </c>
      <c r="F612" s="11" t="s">
        <v>1573</v>
      </c>
      <c r="G612" s="12"/>
      <c r="H612" s="12"/>
      <c r="I612" s="13">
        <v>0</v>
      </c>
      <c r="J612" s="13">
        <v>1</v>
      </c>
      <c r="K612" s="14" t="str">
        <f>HYPERLINK("http://twitter.com","Twitter Web Client")</f>
        <v>Twitter Web Client</v>
      </c>
      <c r="L612" s="13">
        <v>14187</v>
      </c>
      <c r="M612" s="13">
        <v>803</v>
      </c>
      <c r="N612" s="13">
        <v>805</v>
      </c>
      <c r="O612" s="15"/>
      <c r="P612" s="6">
        <v>40463.71806712963</v>
      </c>
      <c r="Q612" s="16" t="s">
        <v>118</v>
      </c>
      <c r="R612" s="17" t="s">
        <v>1576</v>
      </c>
      <c r="S612" s="11" t="s">
        <v>1577</v>
      </c>
      <c r="T612" s="12"/>
      <c r="U612" s="10" t="str">
        <f>HYPERLINK("https://pbs.twimg.com/profile_images/912315408295874561/JZPwOPx_.jpg","View")</f>
        <v>View</v>
      </c>
    </row>
    <row r="613" spans="1:21" ht="30.6">
      <c r="A613" s="6">
        <v>43426.553344907406</v>
      </c>
      <c r="B613" s="7" t="str">
        <f>HYPERLINK("https://twitter.com/walkinglionking","@walkinglionking")</f>
        <v>@walkinglionking</v>
      </c>
      <c r="C613" s="8" t="s">
        <v>3500</v>
      </c>
      <c r="D613" s="9" t="s">
        <v>3501</v>
      </c>
      <c r="E613" s="10" t="str">
        <f>HYPERLINK("https://twitter.com/walkinglionking/status/1065579853993385985","1065579853993385985")</f>
        <v>1065579853993385985</v>
      </c>
      <c r="F613" s="12"/>
      <c r="G613" s="12"/>
      <c r="H613" s="12"/>
      <c r="I613" s="13">
        <v>0</v>
      </c>
      <c r="J613" s="13">
        <v>0</v>
      </c>
      <c r="K613" s="14" t="str">
        <f>HYPERLINK("http://twitter.com/download/android","Twitter for Android")</f>
        <v>Twitter for Android</v>
      </c>
      <c r="L613" s="13">
        <v>0</v>
      </c>
      <c r="M613" s="13">
        <v>1</v>
      </c>
      <c r="N613" s="13">
        <v>0</v>
      </c>
      <c r="O613" s="15"/>
      <c r="P613" s="6">
        <v>43155.898217592592</v>
      </c>
      <c r="Q613" s="12"/>
      <c r="R613" s="19"/>
      <c r="S613" s="12"/>
      <c r="T613" s="12"/>
      <c r="U613" s="18" t="s">
        <v>559</v>
      </c>
    </row>
    <row r="614" spans="1:21" ht="20.399999999999999">
      <c r="A614" s="6">
        <v>43426.55332175926</v>
      </c>
      <c r="B614" s="7" t="str">
        <f>HYPERLINK("https://twitter.com/M_S_Pinto","@M_S_Pinto")</f>
        <v>@M_S_Pinto</v>
      </c>
      <c r="C614" s="8" t="s">
        <v>3504</v>
      </c>
      <c r="D614" s="9" t="s">
        <v>2830</v>
      </c>
      <c r="E614" s="10" t="str">
        <f>HYPERLINK("https://twitter.com/M_S_Pinto/status/1065579845927796736","1065579845927796736")</f>
        <v>1065579845927796736</v>
      </c>
      <c r="F614" s="11" t="s">
        <v>1388</v>
      </c>
      <c r="G614" s="12"/>
      <c r="H614" s="12"/>
      <c r="I614" s="13">
        <v>4</v>
      </c>
      <c r="J614" s="13">
        <v>0</v>
      </c>
      <c r="K614" s="14" t="str">
        <f t="shared" ref="K614:K615" si="122">HYPERLINK("http://twitter.com","Twitter Web Client")</f>
        <v>Twitter Web Client</v>
      </c>
      <c r="L614" s="13">
        <v>1714</v>
      </c>
      <c r="M614" s="13">
        <v>1256</v>
      </c>
      <c r="N614" s="13">
        <v>11</v>
      </c>
      <c r="O614" s="15"/>
      <c r="P614" s="6">
        <v>41764.781342592592</v>
      </c>
      <c r="Q614" s="16" t="s">
        <v>3505</v>
      </c>
      <c r="R614" s="17" t="s">
        <v>3506</v>
      </c>
      <c r="S614" s="11" t="s">
        <v>3507</v>
      </c>
      <c r="T614" s="12"/>
      <c r="U614" s="10" t="str">
        <f>HYPERLINK("https://pbs.twimg.com/profile_images/933047442806853633/MAnc7C_O.jpg","View")</f>
        <v>View</v>
      </c>
    </row>
    <row r="615" spans="1:21" ht="20.399999999999999">
      <c r="A615" s="6">
        <v>43426.552627314813</v>
      </c>
      <c r="B615" s="7" t="str">
        <f>HYPERLINK("https://twitter.com/pdritoD","@pdritoD")</f>
        <v>@pdritoD</v>
      </c>
      <c r="C615" s="8" t="s">
        <v>3509</v>
      </c>
      <c r="D615" s="9" t="s">
        <v>1503</v>
      </c>
      <c r="E615" s="10" t="str">
        <f>HYPERLINK("https://twitter.com/pdritoD/status/1065579595519401984","1065579595519401984")</f>
        <v>1065579595519401984</v>
      </c>
      <c r="F615" s="11" t="s">
        <v>1504</v>
      </c>
      <c r="G615" s="12"/>
      <c r="H615" s="12"/>
      <c r="I615" s="13">
        <v>0</v>
      </c>
      <c r="J615" s="13">
        <v>0</v>
      </c>
      <c r="K615" s="14" t="str">
        <f t="shared" si="122"/>
        <v>Twitter Web Client</v>
      </c>
      <c r="L615" s="13">
        <v>82</v>
      </c>
      <c r="M615" s="13">
        <v>403</v>
      </c>
      <c r="N615" s="13">
        <v>2</v>
      </c>
      <c r="O615" s="15"/>
      <c r="P615" s="6">
        <v>40685.103784722218</v>
      </c>
      <c r="Q615" s="16" t="s">
        <v>3511</v>
      </c>
      <c r="R615" s="17" t="s">
        <v>3512</v>
      </c>
      <c r="S615" s="12"/>
      <c r="T615" s="12"/>
      <c r="U615" s="10" t="str">
        <f>HYPERLINK("https://pbs.twimg.com/profile_images/838643239695560704/xJCXM6HX.jpg","View")</f>
        <v>View</v>
      </c>
    </row>
    <row r="616" spans="1:21" ht="91.8">
      <c r="A616" s="6">
        <v>43426.552303240736</v>
      </c>
      <c r="B616" s="7" t="str">
        <f>HYPERLINK("https://twitter.com/RuthIliana46","@RuthIliana46")</f>
        <v>@RuthIliana46</v>
      </c>
      <c r="C616" s="8" t="s">
        <v>437</v>
      </c>
      <c r="D616" s="9" t="s">
        <v>1581</v>
      </c>
      <c r="E616" s="10" t="str">
        <f>HYPERLINK("https://twitter.com/RuthIliana46/status/1065579475038085120","1065579475038085120")</f>
        <v>1065579475038085120</v>
      </c>
      <c r="F616" s="16" t="s">
        <v>1582</v>
      </c>
      <c r="G616" s="12"/>
      <c r="H616" s="12"/>
      <c r="I616" s="13">
        <v>6</v>
      </c>
      <c r="J616" s="13">
        <v>6</v>
      </c>
      <c r="K616" s="14" t="str">
        <f>HYPERLINK("http://twitter.com/download/android","Twitter for Android")</f>
        <v>Twitter for Android</v>
      </c>
      <c r="L616" s="13">
        <v>4287</v>
      </c>
      <c r="M616" s="13">
        <v>4178</v>
      </c>
      <c r="N616" s="13">
        <v>483</v>
      </c>
      <c r="O616" s="15"/>
      <c r="P616" s="6">
        <v>41235.80333333333</v>
      </c>
      <c r="Q616" s="16" t="s">
        <v>440</v>
      </c>
      <c r="R616" s="17" t="s">
        <v>441</v>
      </c>
      <c r="S616" s="11" t="s">
        <v>442</v>
      </c>
      <c r="T616" s="12"/>
      <c r="U616" s="10" t="str">
        <f>HYPERLINK("https://pbs.twimg.com/profile_images/976118533162721287/GaSph7A7.jpg","View")</f>
        <v>View</v>
      </c>
    </row>
    <row r="617" spans="1:21" ht="40.799999999999997">
      <c r="A617" s="6">
        <v>43426.551493055551</v>
      </c>
      <c r="B617" s="7" t="str">
        <f>HYPERLINK("https://twitter.com/GermanZambranaR","@GermanZambranaR")</f>
        <v>@GermanZambranaR</v>
      </c>
      <c r="C617" s="8" t="s">
        <v>3516</v>
      </c>
      <c r="D617" s="9" t="s">
        <v>3517</v>
      </c>
      <c r="E617" s="10" t="str">
        <f>HYPERLINK("https://twitter.com/GermanZambranaR/status/1065579183294869504","1065579183294869504")</f>
        <v>1065579183294869504</v>
      </c>
      <c r="F617" s="11" t="s">
        <v>1388</v>
      </c>
      <c r="G617" s="12"/>
      <c r="H617" s="12"/>
      <c r="I617" s="13">
        <v>0</v>
      </c>
      <c r="J617" s="13">
        <v>0</v>
      </c>
      <c r="K617" s="14" t="str">
        <f>HYPERLINK("http://twitter.com","Twitter Web Client")</f>
        <v>Twitter Web Client</v>
      </c>
      <c r="L617" s="13">
        <v>299</v>
      </c>
      <c r="M617" s="13">
        <v>1324</v>
      </c>
      <c r="N617" s="13">
        <v>11</v>
      </c>
      <c r="O617" s="15"/>
      <c r="P617" s="6">
        <v>41510.559583333335</v>
      </c>
      <c r="Q617" s="16" t="s">
        <v>3521</v>
      </c>
      <c r="R617" s="17" t="s">
        <v>3522</v>
      </c>
      <c r="S617" s="12"/>
      <c r="T617" s="12"/>
      <c r="U617" s="10" t="str">
        <f>HYPERLINK("https://pbs.twimg.com/profile_images/1037406340908560385/V7C1SA6c.jpg","View")</f>
        <v>View</v>
      </c>
    </row>
    <row r="618" spans="1:21" ht="40.799999999999997">
      <c r="A618" s="6">
        <v>43426.550636574073</v>
      </c>
      <c r="B618" s="7" t="str">
        <f>HYPERLINK("https://twitter.com/BraisRodrguez1","@BraisRodrguez1")</f>
        <v>@BraisRodrguez1</v>
      </c>
      <c r="C618" s="8" t="s">
        <v>3525</v>
      </c>
      <c r="D618" s="9" t="s">
        <v>3526</v>
      </c>
      <c r="E618" s="10" t="str">
        <f>HYPERLINK("https://twitter.com/BraisRodrguez1/status/1065578872123600901","1065578872123600901")</f>
        <v>1065578872123600901</v>
      </c>
      <c r="F618" s="12"/>
      <c r="G618" s="11" t="s">
        <v>3527</v>
      </c>
      <c r="H618" s="12"/>
      <c r="I618" s="13">
        <v>0</v>
      </c>
      <c r="J618" s="13">
        <v>0</v>
      </c>
      <c r="K618" s="14" t="str">
        <f>HYPERLINK("http://twitter.com/download/android","Twitter for Android")</f>
        <v>Twitter for Android</v>
      </c>
      <c r="L618" s="13">
        <v>1029</v>
      </c>
      <c r="M618" s="13">
        <v>5000</v>
      </c>
      <c r="N618" s="13">
        <v>29</v>
      </c>
      <c r="O618" s="15"/>
      <c r="P618" s="6">
        <v>42566.668576388889</v>
      </c>
      <c r="Q618" s="16" t="s">
        <v>3529</v>
      </c>
      <c r="R618" s="17" t="s">
        <v>3531</v>
      </c>
      <c r="S618" s="12"/>
      <c r="T618" s="12"/>
      <c r="U618" s="10" t="str">
        <f>HYPERLINK("https://pbs.twimg.com/profile_images/1056547291597848576/fhCYdHDt.jpg","View")</f>
        <v>View</v>
      </c>
    </row>
    <row r="619" spans="1:21" ht="30.6">
      <c r="A619" s="6">
        <v>43426.550347222219</v>
      </c>
      <c r="B619" s="7" t="str">
        <f>HYPERLINK("https://twitter.com/elperiodico","@elperiodico")</f>
        <v>@elperiodico</v>
      </c>
      <c r="C619" s="8" t="s">
        <v>1583</v>
      </c>
      <c r="D619" s="9" t="s">
        <v>1584</v>
      </c>
      <c r="E619" s="10" t="str">
        <f>HYPERLINK("https://twitter.com/elperiodico/status/1065578767807062016","1065578767807062016")</f>
        <v>1065578767807062016</v>
      </c>
      <c r="F619" s="11" t="s">
        <v>1585</v>
      </c>
      <c r="G619" s="12"/>
      <c r="H619" s="12"/>
      <c r="I619" s="13">
        <v>11</v>
      </c>
      <c r="J619" s="13">
        <v>2</v>
      </c>
      <c r="K619" s="14" t="str">
        <f>HYPERLINK("http://dogtrack.es","DogTrack_Oficial")</f>
        <v>DogTrack_Oficial</v>
      </c>
      <c r="L619" s="13">
        <v>596514</v>
      </c>
      <c r="M619" s="13">
        <v>18498</v>
      </c>
      <c r="N619" s="13">
        <v>6922</v>
      </c>
      <c r="O619" s="18" t="s">
        <v>36</v>
      </c>
      <c r="P619" s="6">
        <v>40456.539560185185</v>
      </c>
      <c r="Q619" s="16" t="s">
        <v>75</v>
      </c>
      <c r="R619" s="17" t="s">
        <v>1588</v>
      </c>
      <c r="S619" s="11" t="s">
        <v>1589</v>
      </c>
      <c r="T619" s="12"/>
      <c r="U619" s="10" t="str">
        <f>HYPERLINK("https://pbs.twimg.com/profile_images/876802324135653377/s4G6oS9o.jpg","View")</f>
        <v>View</v>
      </c>
    </row>
    <row r="620" spans="1:21" ht="30.6">
      <c r="A620" s="6">
        <v>43426.550162037034</v>
      </c>
      <c r="B620" s="7" t="str">
        <f>HYPERLINK("https://twitter.com/ontibe","@ontibe")</f>
        <v>@ontibe</v>
      </c>
      <c r="C620" s="8" t="s">
        <v>3356</v>
      </c>
      <c r="D620" s="9" t="s">
        <v>3281</v>
      </c>
      <c r="E620" s="10" t="str">
        <f>HYPERLINK("https://twitter.com/ontibe/status/1065578702745075712","1065578702745075712")</f>
        <v>1065578702745075712</v>
      </c>
      <c r="F620" s="11" t="s">
        <v>1617</v>
      </c>
      <c r="G620" s="12"/>
      <c r="H620" s="12"/>
      <c r="I620" s="13">
        <v>0</v>
      </c>
      <c r="J620" s="13">
        <v>0</v>
      </c>
      <c r="K620" s="14" t="str">
        <f>HYPERLINK("http://twitter.com","Twitter Web Client")</f>
        <v>Twitter Web Client</v>
      </c>
      <c r="L620" s="13">
        <v>432</v>
      </c>
      <c r="M620" s="13">
        <v>1265</v>
      </c>
      <c r="N620" s="13">
        <v>1</v>
      </c>
      <c r="O620" s="15"/>
      <c r="P620" s="6">
        <v>40673.627766203703</v>
      </c>
      <c r="Q620" s="16" t="s">
        <v>3357</v>
      </c>
      <c r="R620" s="17" t="s">
        <v>3358</v>
      </c>
      <c r="S620" s="12"/>
      <c r="T620" s="12"/>
      <c r="U620" s="10" t="str">
        <f>HYPERLINK("https://pbs.twimg.com/profile_images/867069058037972993/9c2-Wrp7.jpg","View")</f>
        <v>View</v>
      </c>
    </row>
    <row r="621" spans="1:21" ht="40.799999999999997">
      <c r="A621" s="6">
        <v>43426.54859953704</v>
      </c>
      <c r="B621" s="7" t="str">
        <f>HYPERLINK("https://twitter.com/Cs_CLM","@Cs_CLM")</f>
        <v>@Cs_CLM</v>
      </c>
      <c r="C621" s="8" t="s">
        <v>1235</v>
      </c>
      <c r="D621" s="9" t="s">
        <v>1591</v>
      </c>
      <c r="E621" s="10" t="str">
        <f>HYPERLINK("https://twitter.com/Cs_CLM/status/1065578134748188672","1065578134748188672")</f>
        <v>1065578134748188672</v>
      </c>
      <c r="F621" s="11" t="s">
        <v>1592</v>
      </c>
      <c r="G621" s="11" t="s">
        <v>1593</v>
      </c>
      <c r="H621" s="12"/>
      <c r="I621" s="13">
        <v>8</v>
      </c>
      <c r="J621" s="13">
        <v>6</v>
      </c>
      <c r="K621" s="14" t="str">
        <f>HYPERLINK("http://twitter.com/download/iphone","Twitter for iPhone")</f>
        <v>Twitter for iPhone</v>
      </c>
      <c r="L621" s="13">
        <v>4223</v>
      </c>
      <c r="M621" s="13">
        <v>628</v>
      </c>
      <c r="N621" s="13">
        <v>72</v>
      </c>
      <c r="O621" s="15"/>
      <c r="P621" s="6">
        <v>42106.981793981482</v>
      </c>
      <c r="Q621" s="16" t="s">
        <v>171</v>
      </c>
      <c r="R621" s="17" t="s">
        <v>1238</v>
      </c>
      <c r="S621" s="11" t="s">
        <v>1239</v>
      </c>
      <c r="T621" s="12"/>
      <c r="U621" s="10" t="str">
        <f>HYPERLINK("https://pbs.twimg.com/profile_images/1053405513923416064/Z9jG76VP.jpg","View")</f>
        <v>View</v>
      </c>
    </row>
    <row r="622" spans="1:21" ht="20.399999999999999">
      <c r="A622" s="6">
        <v>43426.54855324074</v>
      </c>
      <c r="B622" s="7" t="str">
        <f>HYPERLINK("https://twitter.com/sevillairene","@sevillairene")</f>
        <v>@sevillairene</v>
      </c>
      <c r="C622" s="8" t="s">
        <v>1594</v>
      </c>
      <c r="D622" s="9" t="s">
        <v>1595</v>
      </c>
      <c r="E622" s="10" t="str">
        <f>HYPERLINK("https://twitter.com/sevillairene/status/1065578119896199175","1065578119896199175")</f>
        <v>1065578119896199175</v>
      </c>
      <c r="F622" s="11" t="s">
        <v>1596</v>
      </c>
      <c r="G622" s="12"/>
      <c r="H622" s="12"/>
      <c r="I622" s="13">
        <v>1</v>
      </c>
      <c r="J622" s="13">
        <v>0</v>
      </c>
      <c r="K622" s="14" t="str">
        <f t="shared" ref="K622:K623" si="123">HYPERLINK("http://twitter.com","Twitter Web Client")</f>
        <v>Twitter Web Client</v>
      </c>
      <c r="L622" s="13">
        <v>994</v>
      </c>
      <c r="M622" s="13">
        <v>1018</v>
      </c>
      <c r="N622" s="13">
        <v>31</v>
      </c>
      <c r="O622" s="15"/>
      <c r="P622" s="6">
        <v>40613.830925925926</v>
      </c>
      <c r="Q622" s="16" t="s">
        <v>496</v>
      </c>
      <c r="R622" s="17" t="s">
        <v>1597</v>
      </c>
      <c r="S622" s="12"/>
      <c r="T622" s="12"/>
      <c r="U622" s="10" t="str">
        <f>HYPERLINK("https://pbs.twimg.com/profile_images/1867003106/irene_4.jpg","View")</f>
        <v>View</v>
      </c>
    </row>
    <row r="623" spans="1:21" ht="71.400000000000006">
      <c r="A623" s="6">
        <v>43426.546111111107</v>
      </c>
      <c r="B623" s="7" t="str">
        <f>HYPERLINK("https://twitter.com/CarMontoro","@CarMontoro")</f>
        <v>@CarMontoro</v>
      </c>
      <c r="C623" s="8" t="s">
        <v>3540</v>
      </c>
      <c r="D623" s="9" t="s">
        <v>3541</v>
      </c>
      <c r="E623" s="10" t="str">
        <f>HYPERLINK("https://twitter.com/CarMontoro/status/1065577234461790208","1065577234461790208")</f>
        <v>1065577234461790208</v>
      </c>
      <c r="F623" s="11" t="s">
        <v>3542</v>
      </c>
      <c r="G623" s="11" t="s">
        <v>3544</v>
      </c>
      <c r="H623" s="12"/>
      <c r="I623" s="13">
        <v>0</v>
      </c>
      <c r="J623" s="13">
        <v>0</v>
      </c>
      <c r="K623" s="14" t="str">
        <f t="shared" si="123"/>
        <v>Twitter Web Client</v>
      </c>
      <c r="L623" s="13">
        <v>138</v>
      </c>
      <c r="M623" s="13">
        <v>228</v>
      </c>
      <c r="N623" s="13">
        <v>10</v>
      </c>
      <c r="O623" s="15"/>
      <c r="P623" s="6">
        <v>41209.916828703703</v>
      </c>
      <c r="Q623" s="12"/>
      <c r="R623" s="17" t="s">
        <v>3546</v>
      </c>
      <c r="S623" s="12"/>
      <c r="T623" s="12"/>
      <c r="U623" s="10" t="str">
        <f>HYPERLINK("https://pbs.twimg.com/profile_images/1021422756049678336/cXsT2NS3.jpg","View")</f>
        <v>View</v>
      </c>
    </row>
    <row r="624" spans="1:21" ht="30.6">
      <c r="A624" s="6">
        <v>43426.54487268519</v>
      </c>
      <c r="B624" s="7" t="str">
        <f>HYPERLINK("https://twitter.com/marianozurdo","@marianozurdo")</f>
        <v>@marianozurdo</v>
      </c>
      <c r="C624" s="8" t="s">
        <v>3547</v>
      </c>
      <c r="D624" s="9" t="s">
        <v>3548</v>
      </c>
      <c r="E624" s="10" t="str">
        <f>HYPERLINK("https://twitter.com/marianozurdo/status/1065576785805492225","1065576785805492225")</f>
        <v>1065576785805492225</v>
      </c>
      <c r="F624" s="12"/>
      <c r="G624" s="12"/>
      <c r="H624" s="12"/>
      <c r="I624" s="13">
        <v>0</v>
      </c>
      <c r="J624" s="13">
        <v>0</v>
      </c>
      <c r="K624" s="14" t="str">
        <f>HYPERLINK("http://www.facebook.com/twitter","Facebook")</f>
        <v>Facebook</v>
      </c>
      <c r="L624" s="13">
        <v>959</v>
      </c>
      <c r="M624" s="13">
        <v>1647</v>
      </c>
      <c r="N624" s="13">
        <v>51</v>
      </c>
      <c r="O624" s="15"/>
      <c r="P624" s="6">
        <v>40265.735914351855</v>
      </c>
      <c r="Q624" s="16" t="s">
        <v>3551</v>
      </c>
      <c r="R624" s="17" t="s">
        <v>3552</v>
      </c>
      <c r="S624" s="11" t="s">
        <v>3553</v>
      </c>
      <c r="T624" s="12"/>
      <c r="U624" s="10" t="str">
        <f>HYPERLINK("https://pbs.twimg.com/profile_images/602748506160439296/o2IL_6M6.jpg","View")</f>
        <v>View</v>
      </c>
    </row>
    <row r="625" spans="1:21" ht="71.400000000000006">
      <c r="A625" s="6">
        <v>43426.544525462959</v>
      </c>
      <c r="B625" s="7" t="str">
        <f>HYPERLINK("https://twitter.com/demokrata10","@demokrata10")</f>
        <v>@demokrata10</v>
      </c>
      <c r="C625" s="8" t="s">
        <v>1598</v>
      </c>
      <c r="D625" s="9" t="s">
        <v>1599</v>
      </c>
      <c r="E625" s="10" t="str">
        <f>HYPERLINK("https://twitter.com/demokrata10/status/1065576659946999810","1065576659946999810")</f>
        <v>1065576659946999810</v>
      </c>
      <c r="F625" s="11" t="s">
        <v>1600</v>
      </c>
      <c r="G625" s="12"/>
      <c r="H625" s="12"/>
      <c r="I625" s="13">
        <v>0</v>
      </c>
      <c r="J625" s="13">
        <v>0</v>
      </c>
      <c r="K625" s="14" t="str">
        <f>HYPERLINK("http://twitter.com/download/android","Twitter for Android")</f>
        <v>Twitter for Android</v>
      </c>
      <c r="L625" s="13">
        <v>136</v>
      </c>
      <c r="M625" s="13">
        <v>802</v>
      </c>
      <c r="N625" s="13">
        <v>0</v>
      </c>
      <c r="O625" s="15"/>
      <c r="P625" s="6">
        <v>43044.320370370369</v>
      </c>
      <c r="Q625" s="16" t="s">
        <v>1601</v>
      </c>
      <c r="R625" s="17" t="s">
        <v>1602</v>
      </c>
      <c r="S625" s="12"/>
      <c r="T625" s="12"/>
      <c r="U625" s="10" t="str">
        <f>HYPERLINK("https://pbs.twimg.com/profile_images/927063528460181504/Mcr1dhYH.jpg","View")</f>
        <v>View</v>
      </c>
    </row>
    <row r="626" spans="1:21" ht="61.2">
      <c r="A626" s="6">
        <v>43426.544340277775</v>
      </c>
      <c r="B626" s="7" t="str">
        <f>HYPERLINK("https://twitter.com/Alberto_deJesus","@Alberto_deJesus")</f>
        <v>@Alberto_deJesus</v>
      </c>
      <c r="C626" s="8" t="s">
        <v>1604</v>
      </c>
      <c r="D626" s="9" t="s">
        <v>1605</v>
      </c>
      <c r="E626" s="10" t="str">
        <f>HYPERLINK("https://twitter.com/Alberto_deJesus/status/1065576592875954176","1065576592875954176")</f>
        <v>1065576592875954176</v>
      </c>
      <c r="F626" s="16" t="s">
        <v>1608</v>
      </c>
      <c r="G626" s="12"/>
      <c r="H626" s="12"/>
      <c r="I626" s="13">
        <v>1</v>
      </c>
      <c r="J626" s="13">
        <v>0</v>
      </c>
      <c r="K626" s="14" t="str">
        <f>HYPERLINK("http://twitter.com","Twitter Web Client")</f>
        <v>Twitter Web Client</v>
      </c>
      <c r="L626" s="13">
        <v>1072</v>
      </c>
      <c r="M626" s="13">
        <v>2042</v>
      </c>
      <c r="N626" s="13">
        <v>13</v>
      </c>
      <c r="O626" s="15"/>
      <c r="P626" s="6">
        <v>40577.815011574072</v>
      </c>
      <c r="Q626" s="12"/>
      <c r="R626" s="17" t="s">
        <v>1609</v>
      </c>
      <c r="S626" s="12"/>
      <c r="T626" s="12"/>
      <c r="U626" s="10" t="str">
        <f>HYPERLINK("https://pbs.twimg.com/profile_images/951506738431348737/6cR4Ai9G.jpg","View")</f>
        <v>View</v>
      </c>
    </row>
    <row r="627" spans="1:21" ht="40.799999999999997">
      <c r="A627" s="6">
        <v>43426.54305555555</v>
      </c>
      <c r="B627" s="7" t="str">
        <f t="shared" ref="B627:B628" si="124">HYPERLINK("https://twitter.com/bitMomentum","@bitMomentum")</f>
        <v>@bitMomentum</v>
      </c>
      <c r="C627" s="8" t="s">
        <v>706</v>
      </c>
      <c r="D627" s="9" t="s">
        <v>1611</v>
      </c>
      <c r="E627" s="10" t="str">
        <f>HYPERLINK("https://twitter.com/bitMomentum/status/1065576124317687808","1065576124317687808")</f>
        <v>1065576124317687808</v>
      </c>
      <c r="F627" s="12"/>
      <c r="G627" s="12"/>
      <c r="H627" s="12"/>
      <c r="I627" s="13">
        <v>1</v>
      </c>
      <c r="J627" s="13">
        <v>0</v>
      </c>
      <c r="K627" s="14" t="str">
        <f t="shared" ref="K627:K628" si="125">HYPERLINK("http://www.bitmomentum.com","bitMomentum Bot")</f>
        <v>bitMomentum Bot</v>
      </c>
      <c r="L627" s="13">
        <v>10132</v>
      </c>
      <c r="M627" s="13">
        <v>1060</v>
      </c>
      <c r="N627" s="13">
        <v>262</v>
      </c>
      <c r="O627" s="15"/>
      <c r="P627" s="6">
        <v>41608.667511574073</v>
      </c>
      <c r="Q627" s="12"/>
      <c r="R627" s="17" t="s">
        <v>708</v>
      </c>
      <c r="S627" s="11" t="s">
        <v>709</v>
      </c>
      <c r="T627" s="12"/>
      <c r="U627" s="10" t="str">
        <f t="shared" ref="U627:U628" si="126">HYPERLINK("https://pbs.twimg.com/profile_images/378800000862185241/20ij2H3u.png","View")</f>
        <v>View</v>
      </c>
    </row>
    <row r="628" spans="1:21" ht="40.799999999999997">
      <c r="A628" s="6">
        <v>43426.542361111111</v>
      </c>
      <c r="B628" s="7" t="str">
        <f t="shared" si="124"/>
        <v>@bitMomentum</v>
      </c>
      <c r="C628" s="8" t="s">
        <v>706</v>
      </c>
      <c r="D628" s="9" t="s">
        <v>1614</v>
      </c>
      <c r="E628" s="10" t="str">
        <f>HYPERLINK("https://twitter.com/bitMomentum/status/1065575873208901632","1065575873208901632")</f>
        <v>1065575873208901632</v>
      </c>
      <c r="F628" s="12"/>
      <c r="G628" s="12"/>
      <c r="H628" s="12"/>
      <c r="I628" s="13">
        <v>2</v>
      </c>
      <c r="J628" s="13">
        <v>0</v>
      </c>
      <c r="K628" s="14" t="str">
        <f t="shared" si="125"/>
        <v>bitMomentum Bot</v>
      </c>
      <c r="L628" s="13">
        <v>10132</v>
      </c>
      <c r="M628" s="13">
        <v>1060</v>
      </c>
      <c r="N628" s="13">
        <v>262</v>
      </c>
      <c r="O628" s="15"/>
      <c r="P628" s="6">
        <v>41608.667511574073</v>
      </c>
      <c r="Q628" s="12"/>
      <c r="R628" s="17" t="s">
        <v>708</v>
      </c>
      <c r="S628" s="11" t="s">
        <v>709</v>
      </c>
      <c r="T628" s="12"/>
      <c r="U628" s="10" t="str">
        <f t="shared" si="126"/>
        <v>View</v>
      </c>
    </row>
    <row r="629" spans="1:21" ht="20.399999999999999">
      <c r="A629" s="6">
        <v>43426.54210648148</v>
      </c>
      <c r="B629" s="7" t="str">
        <f>HYPERLINK("https://twitter.com/carlosjess1","@carlosjess1")</f>
        <v>@carlosjess1</v>
      </c>
      <c r="C629" s="8" t="s">
        <v>3568</v>
      </c>
      <c r="D629" s="9" t="s">
        <v>3569</v>
      </c>
      <c r="E629" s="10" t="str">
        <f>HYPERLINK("https://twitter.com/carlosjess1/status/1065575780300787712","1065575780300787712")</f>
        <v>1065575780300787712</v>
      </c>
      <c r="F629" s="11" t="s">
        <v>3572</v>
      </c>
      <c r="G629" s="12"/>
      <c r="H629" s="12"/>
      <c r="I629" s="13">
        <v>0</v>
      </c>
      <c r="J629" s="13">
        <v>0</v>
      </c>
      <c r="K629" s="14" t="str">
        <f t="shared" ref="K629:K630" si="127">HYPERLINK("http://twitter.com","Twitter Web Client")</f>
        <v>Twitter Web Client</v>
      </c>
      <c r="L629" s="13">
        <v>332</v>
      </c>
      <c r="M629" s="13">
        <v>450</v>
      </c>
      <c r="N629" s="13">
        <v>5</v>
      </c>
      <c r="O629" s="15"/>
      <c r="P629" s="6">
        <v>40722.893101851849</v>
      </c>
      <c r="Q629" s="12"/>
      <c r="R629" s="19"/>
      <c r="S629" s="12"/>
      <c r="T629" s="12"/>
      <c r="U629" s="10" t="str">
        <f>HYPERLINK("https://pbs.twimg.com/profile_images/495971184115081216/CWgDWJX4.jpeg","View")</f>
        <v>View</v>
      </c>
    </row>
    <row r="630" spans="1:21" ht="40.799999999999997">
      <c r="A630" s="6">
        <v>43426.54</v>
      </c>
      <c r="B630" s="7" t="str">
        <f>HYPERLINK("https://twitter.com/VotaCiudadanos","@VotaCiudadanos")</f>
        <v>@VotaCiudadanos</v>
      </c>
      <c r="C630" s="8" t="s">
        <v>1629</v>
      </c>
      <c r="D630" s="9" t="s">
        <v>3575</v>
      </c>
      <c r="E630" s="10" t="str">
        <f>HYPERLINK("https://twitter.com/VotaCiudadanos/status/1065575020158697473","1065575020158697473")</f>
        <v>1065575020158697473</v>
      </c>
      <c r="F630" s="11" t="s">
        <v>2727</v>
      </c>
      <c r="G630" s="12"/>
      <c r="H630" s="12"/>
      <c r="I630" s="13">
        <v>8</v>
      </c>
      <c r="J630" s="13">
        <v>8</v>
      </c>
      <c r="K630" s="14" t="str">
        <f t="shared" si="127"/>
        <v>Twitter Web Client</v>
      </c>
      <c r="L630" s="13">
        <v>1870</v>
      </c>
      <c r="M630" s="13">
        <v>198</v>
      </c>
      <c r="N630" s="13">
        <v>26</v>
      </c>
      <c r="O630" s="15"/>
      <c r="P630" s="6">
        <v>42318.889432870375</v>
      </c>
      <c r="Q630" s="16" t="s">
        <v>1635</v>
      </c>
      <c r="R630" s="17" t="s">
        <v>1636</v>
      </c>
      <c r="S630" s="11" t="s">
        <v>473</v>
      </c>
      <c r="T630" s="12"/>
      <c r="U630" s="10" t="str">
        <f>HYPERLINK("https://pbs.twimg.com/profile_images/948620265965215745/eZupLWK2.jpg","View")</f>
        <v>View</v>
      </c>
    </row>
    <row r="631" spans="1:21" ht="20.399999999999999">
      <c r="A631" s="6">
        <v>43426.538321759261</v>
      </c>
      <c r="B631" s="7" t="str">
        <f>HYPERLINK("https://twitter.com/_Sr_Lobo_","@_Sr_Lobo_")</f>
        <v>@_Sr_Lobo_</v>
      </c>
      <c r="C631" s="8" t="s">
        <v>3579</v>
      </c>
      <c r="D631" s="9" t="s">
        <v>3580</v>
      </c>
      <c r="E631" s="10" t="str">
        <f>HYPERLINK("https://twitter.com/_Sr_Lobo_/status/1065574410793426949","1065574410793426949")</f>
        <v>1065574410793426949</v>
      </c>
      <c r="F631" s="12"/>
      <c r="G631" s="12"/>
      <c r="H631" s="12"/>
      <c r="I631" s="13">
        <v>0</v>
      </c>
      <c r="J631" s="13">
        <v>1</v>
      </c>
      <c r="K631" s="14" t="str">
        <f>HYPERLINK("http://twitter.com/download/iphone","Twitter for iPhone")</f>
        <v>Twitter for iPhone</v>
      </c>
      <c r="L631" s="13">
        <v>317</v>
      </c>
      <c r="M631" s="13">
        <v>596</v>
      </c>
      <c r="N631" s="13">
        <v>4</v>
      </c>
      <c r="O631" s="15"/>
      <c r="P631" s="6">
        <v>40944.952372685184</v>
      </c>
      <c r="Q631" s="16" t="s">
        <v>3584</v>
      </c>
      <c r="R631" s="17" t="s">
        <v>3585</v>
      </c>
      <c r="S631" s="12"/>
      <c r="T631" s="12"/>
      <c r="U631" s="10" t="str">
        <f>HYPERLINK("https://pbs.twimg.com/profile_images/1057920695836033025/tm63m8nJ.jpg","View")</f>
        <v>View</v>
      </c>
    </row>
    <row r="632" spans="1:21" ht="40.799999999999997">
      <c r="A632" s="6">
        <v>43426.537743055553</v>
      </c>
      <c r="B632" s="7" t="str">
        <f>HYPERLINK("https://twitter.com/TheCharlie66","@TheCharlie66")</f>
        <v>@TheCharlie66</v>
      </c>
      <c r="C632" s="8" t="s">
        <v>1615</v>
      </c>
      <c r="D632" s="9" t="s">
        <v>1616</v>
      </c>
      <c r="E632" s="10" t="str">
        <f>HYPERLINK("https://twitter.com/TheCharlie66/status/1065574201480962049","1065574201480962049")</f>
        <v>1065574201480962049</v>
      </c>
      <c r="F632" s="11" t="s">
        <v>1617</v>
      </c>
      <c r="G632" s="12"/>
      <c r="H632" s="12"/>
      <c r="I632" s="13">
        <v>0</v>
      </c>
      <c r="J632" s="13">
        <v>3</v>
      </c>
      <c r="K632" s="14" t="str">
        <f>HYPERLINK("http://twitter.com","Twitter Web Client")</f>
        <v>Twitter Web Client</v>
      </c>
      <c r="L632" s="13">
        <v>34</v>
      </c>
      <c r="M632" s="13">
        <v>370</v>
      </c>
      <c r="N632" s="13">
        <v>0</v>
      </c>
      <c r="O632" s="15"/>
      <c r="P632" s="6">
        <v>41609.610300925924</v>
      </c>
      <c r="Q632" s="12"/>
      <c r="R632" s="19"/>
      <c r="S632" s="12"/>
      <c r="T632" s="12"/>
      <c r="U632" s="10" t="str">
        <f>HYPERLINK("https://pbs.twimg.com/profile_images/885114013067161601/NqpllgAV.jpg","View")</f>
        <v>View</v>
      </c>
    </row>
    <row r="633" spans="1:21" ht="40.799999999999997">
      <c r="A633" s="6">
        <v>43426.536469907413</v>
      </c>
      <c r="B633" s="7" t="str">
        <f>HYPERLINK("https://twitter.com/PdeSamos","@PdeSamos")</f>
        <v>@PdeSamos</v>
      </c>
      <c r="C633" s="8" t="s">
        <v>1574</v>
      </c>
      <c r="D633" s="9" t="s">
        <v>3592</v>
      </c>
      <c r="E633" s="10" t="str">
        <f>HYPERLINK("https://twitter.com/PdeSamos/status/1065573737712545792","1065573737712545792")</f>
        <v>1065573737712545792</v>
      </c>
      <c r="F633" s="11" t="s">
        <v>3593</v>
      </c>
      <c r="G633" s="12"/>
      <c r="H633" s="12"/>
      <c r="I633" s="13">
        <v>0</v>
      </c>
      <c r="J633" s="13">
        <v>0</v>
      </c>
      <c r="K633" s="14" t="str">
        <f>HYPERLINK("http://republico.ddns.net","App Libertad PdeSamos")</f>
        <v>App Libertad PdeSamos</v>
      </c>
      <c r="L633" s="13">
        <v>5284</v>
      </c>
      <c r="M633" s="13">
        <v>5302</v>
      </c>
      <c r="N633" s="13">
        <v>12</v>
      </c>
      <c r="O633" s="15"/>
      <c r="P633" s="6">
        <v>42889.820567129631</v>
      </c>
      <c r="Q633" s="16" t="s">
        <v>1579</v>
      </c>
      <c r="R633" s="17" t="s">
        <v>1580</v>
      </c>
      <c r="S633" s="12"/>
      <c r="T633" s="12"/>
      <c r="U633" s="10" t="str">
        <f>HYPERLINK("https://pbs.twimg.com/profile_images/871063742003511296/xK2IYbrO.jpg","View")</f>
        <v>View</v>
      </c>
    </row>
    <row r="634" spans="1:21" ht="20.399999999999999">
      <c r="A634" s="6">
        <v>43426.534745370373</v>
      </c>
      <c r="B634" s="7" t="str">
        <f>HYPERLINK("https://twitter.com/PeponeBernal","@PeponeBernal")</f>
        <v>@PeponeBernal</v>
      </c>
      <c r="C634" s="8" t="s">
        <v>3599</v>
      </c>
      <c r="D634" s="9" t="s">
        <v>3600</v>
      </c>
      <c r="E634" s="10" t="str">
        <f>HYPERLINK("https://twitter.com/PeponeBernal/status/1065573115772719105","1065573115772719105")</f>
        <v>1065573115772719105</v>
      </c>
      <c r="F634" s="12"/>
      <c r="G634" s="12"/>
      <c r="H634" s="12"/>
      <c r="I634" s="13">
        <v>0</v>
      </c>
      <c r="J634" s="13">
        <v>0</v>
      </c>
      <c r="K634" s="14" t="str">
        <f t="shared" ref="K634:K635" si="128">HYPERLINK("http://twitter.com/download/android","Twitter for Android")</f>
        <v>Twitter for Android</v>
      </c>
      <c r="L634" s="13">
        <v>54</v>
      </c>
      <c r="M634" s="13">
        <v>93</v>
      </c>
      <c r="N634" s="13">
        <v>0</v>
      </c>
      <c r="O634" s="15"/>
      <c r="P634" s="6">
        <v>40860.89980324074</v>
      </c>
      <c r="Q634" s="12"/>
      <c r="R634" s="19"/>
      <c r="S634" s="12"/>
      <c r="T634" s="12"/>
      <c r="U634" s="10" t="str">
        <f>HYPERLINK("https://pbs.twimg.com/profile_images/2674210582/5ff80aff9ca198c94b555587ef0f4b1f.png","View")</f>
        <v>View</v>
      </c>
    </row>
    <row r="635" spans="1:21" ht="102">
      <c r="A635" s="6">
        <v>43426.534131944441</v>
      </c>
      <c r="B635" s="7" t="str">
        <f>HYPERLINK("https://twitter.com/LuisBatteman","@LuisBatteman")</f>
        <v>@LuisBatteman</v>
      </c>
      <c r="C635" s="8" t="s">
        <v>769</v>
      </c>
      <c r="D635" s="9" t="s">
        <v>1618</v>
      </c>
      <c r="E635" s="10" t="str">
        <f>HYPERLINK("https://twitter.com/LuisBatteman/status/1065572891289374720","1065572891289374720")</f>
        <v>1065572891289374720</v>
      </c>
      <c r="F635" s="16" t="s">
        <v>1619</v>
      </c>
      <c r="G635" s="12"/>
      <c r="H635" s="12"/>
      <c r="I635" s="13">
        <v>0</v>
      </c>
      <c r="J635" s="13">
        <v>0</v>
      </c>
      <c r="K635" s="14" t="str">
        <f t="shared" si="128"/>
        <v>Twitter for Android</v>
      </c>
      <c r="L635" s="13">
        <v>1731</v>
      </c>
      <c r="M635" s="13">
        <v>2195</v>
      </c>
      <c r="N635" s="13">
        <v>31</v>
      </c>
      <c r="O635" s="15"/>
      <c r="P635" s="6">
        <v>40122.007476851853</v>
      </c>
      <c r="Q635" s="16" t="s">
        <v>774</v>
      </c>
      <c r="R635" s="17" t="s">
        <v>775</v>
      </c>
      <c r="S635" s="12"/>
      <c r="T635" s="12"/>
      <c r="U635" s="10" t="str">
        <f>HYPERLINK("https://pbs.twimg.com/profile_images/730904453025546242/36bcf-X7.jpg","View")</f>
        <v>View</v>
      </c>
    </row>
    <row r="636" spans="1:21" ht="51">
      <c r="A636" s="6">
        <v>43426.530960648146</v>
      </c>
      <c r="B636" s="7" t="str">
        <f>HYPERLINK("https://twitter.com/GosthParty","@GosthParty")</f>
        <v>@GosthParty</v>
      </c>
      <c r="C636" s="8" t="s">
        <v>1620</v>
      </c>
      <c r="D636" s="9" t="s">
        <v>1621</v>
      </c>
      <c r="E636" s="10" t="str">
        <f>HYPERLINK("https://twitter.com/GosthParty/status/1065571743681691648","1065571743681691648")</f>
        <v>1065571743681691648</v>
      </c>
      <c r="F636" s="12"/>
      <c r="G636" s="12"/>
      <c r="H636" s="12"/>
      <c r="I636" s="13">
        <v>0</v>
      </c>
      <c r="J636" s="13">
        <v>0</v>
      </c>
      <c r="K636" s="14" t="str">
        <f t="shared" ref="K636:K637" si="129">HYPERLINK("http://twitter.com","Twitter Web Client")</f>
        <v>Twitter Web Client</v>
      </c>
      <c r="L636" s="13">
        <v>147</v>
      </c>
      <c r="M636" s="13">
        <v>283</v>
      </c>
      <c r="N636" s="13">
        <v>11</v>
      </c>
      <c r="O636" s="15"/>
      <c r="P636" s="6">
        <v>41476.013773148152</v>
      </c>
      <c r="Q636" s="16" t="s">
        <v>1624</v>
      </c>
      <c r="R636" s="17" t="s">
        <v>1625</v>
      </c>
      <c r="S636" s="11" t="s">
        <v>1626</v>
      </c>
      <c r="T636" s="12"/>
      <c r="U636" s="10" t="str">
        <f>HYPERLINK("https://pbs.twimg.com/profile_images/378800000162925922/9651322896efa49770f6d3b40a92fd32.jpeg","View")</f>
        <v>View</v>
      </c>
    </row>
    <row r="637" spans="1:21" ht="71.400000000000006">
      <c r="A637" s="6">
        <v>43426.529988425929</v>
      </c>
      <c r="B637" s="7" t="str">
        <f>HYPERLINK("https://twitter.com/Aclnari","@Aclnari")</f>
        <v>@Aclnari</v>
      </c>
      <c r="C637" s="8" t="s">
        <v>3614</v>
      </c>
      <c r="D637" s="9" t="s">
        <v>3615</v>
      </c>
      <c r="E637" s="10" t="str">
        <f>HYPERLINK("https://twitter.com/Aclnari/status/1065571389049110528","1065571389049110528")</f>
        <v>1065571389049110528</v>
      </c>
      <c r="F637" s="16" t="s">
        <v>64</v>
      </c>
      <c r="G637" s="11" t="s">
        <v>65</v>
      </c>
      <c r="H637" s="12"/>
      <c r="I637" s="13">
        <v>0</v>
      </c>
      <c r="J637" s="13">
        <v>0</v>
      </c>
      <c r="K637" s="14" t="str">
        <f t="shared" si="129"/>
        <v>Twitter Web Client</v>
      </c>
      <c r="L637" s="13">
        <v>79</v>
      </c>
      <c r="M637" s="13">
        <v>245</v>
      </c>
      <c r="N637" s="13">
        <v>3</v>
      </c>
      <c r="O637" s="15"/>
      <c r="P637" s="6">
        <v>40743.05327546296</v>
      </c>
      <c r="Q637" s="12"/>
      <c r="R637" s="17" t="s">
        <v>3617</v>
      </c>
      <c r="S637" s="12"/>
      <c r="T637" s="12"/>
      <c r="U637" s="10" t="str">
        <f>HYPERLINK("https://pbs.twimg.com/profile_images/1769759395/Liverbird_avatar.jpg","View")</f>
        <v>View</v>
      </c>
    </row>
    <row r="638" spans="1:21" ht="51">
      <c r="A638" s="6">
        <v>43426.52952546296</v>
      </c>
      <c r="B638" s="7" t="str">
        <f>HYPERLINK("https://twitter.com/WalterW25694055","@WalterW25694055")</f>
        <v>@WalterW25694055</v>
      </c>
      <c r="C638" s="8" t="s">
        <v>3621</v>
      </c>
      <c r="D638" s="9" t="s">
        <v>3622</v>
      </c>
      <c r="E638" s="10" t="str">
        <f>HYPERLINK("https://twitter.com/WalterW25694055/status/1065571222698815489","1065571222698815489")</f>
        <v>1065571222698815489</v>
      </c>
      <c r="F638" s="12"/>
      <c r="G638" s="12"/>
      <c r="H638" s="12"/>
      <c r="I638" s="13">
        <v>0</v>
      </c>
      <c r="J638" s="13">
        <v>1</v>
      </c>
      <c r="K638" s="14" t="str">
        <f>HYPERLINK("http://twitter.com/download/android","Twitter for Android")</f>
        <v>Twitter for Android</v>
      </c>
      <c r="L638" s="13">
        <v>357</v>
      </c>
      <c r="M638" s="13">
        <v>345</v>
      </c>
      <c r="N638" s="13">
        <v>0</v>
      </c>
      <c r="O638" s="15"/>
      <c r="P638" s="6">
        <v>43178.930162037039</v>
      </c>
      <c r="Q638" s="16" t="s">
        <v>3623</v>
      </c>
      <c r="R638" s="17" t="s">
        <v>3624</v>
      </c>
      <c r="S638" s="12"/>
      <c r="T638" s="12"/>
      <c r="U638" s="10" t="str">
        <f>HYPERLINK("https://pbs.twimg.com/profile_images/975847570974167040/VFLEpR-h.jpg","View")</f>
        <v>View</v>
      </c>
    </row>
    <row r="639" spans="1:21" ht="102">
      <c r="A639" s="6">
        <v>43426.524814814809</v>
      </c>
      <c r="B639" s="7" t="str">
        <f>HYPERLINK("https://twitter.com/VotaCiudadanos","@VotaCiudadanos")</f>
        <v>@VotaCiudadanos</v>
      </c>
      <c r="C639" s="8" t="s">
        <v>1629</v>
      </c>
      <c r="D639" s="9" t="s">
        <v>1630</v>
      </c>
      <c r="E639" s="10" t="str">
        <f>HYPERLINK("https://twitter.com/VotaCiudadanos/status/1065569514392305664","1065569514392305664")</f>
        <v>1065569514392305664</v>
      </c>
      <c r="F639" s="16" t="s">
        <v>1633</v>
      </c>
      <c r="G639" s="11" t="s">
        <v>1634</v>
      </c>
      <c r="H639" s="12"/>
      <c r="I639" s="13">
        <v>2</v>
      </c>
      <c r="J639" s="13">
        <v>2</v>
      </c>
      <c r="K639" s="14" t="str">
        <f>HYPERLINK("http://twitter.com","Twitter Web Client")</f>
        <v>Twitter Web Client</v>
      </c>
      <c r="L639" s="13">
        <v>1870</v>
      </c>
      <c r="M639" s="13">
        <v>198</v>
      </c>
      <c r="N639" s="13">
        <v>26</v>
      </c>
      <c r="O639" s="15"/>
      <c r="P639" s="6">
        <v>42318.889432870375</v>
      </c>
      <c r="Q639" s="16" t="s">
        <v>1635</v>
      </c>
      <c r="R639" s="17" t="s">
        <v>1636</v>
      </c>
      <c r="S639" s="11" t="s">
        <v>473</v>
      </c>
      <c r="T639" s="12"/>
      <c r="U639" s="10" t="str">
        <f>HYPERLINK("https://pbs.twimg.com/profile_images/948620265965215745/eZupLWK2.jpg","View")</f>
        <v>View</v>
      </c>
    </row>
    <row r="640" spans="1:21" ht="61.2">
      <c r="A640" s="6">
        <v>43426.522106481483</v>
      </c>
      <c r="B640" s="7" t="str">
        <f>HYPERLINK("https://twitter.com/juluniver","@juluniver")</f>
        <v>@juluniver</v>
      </c>
      <c r="C640" s="8" t="s">
        <v>368</v>
      </c>
      <c r="D640" s="9" t="s">
        <v>1640</v>
      </c>
      <c r="E640" s="10" t="str">
        <f>HYPERLINK("https://twitter.com/juluniver/status/1065568533524951040","1065568533524951040")</f>
        <v>1065568533524951040</v>
      </c>
      <c r="F640" s="12"/>
      <c r="G640" s="11" t="s">
        <v>1643</v>
      </c>
      <c r="H640" s="12"/>
      <c r="I640" s="13">
        <v>0</v>
      </c>
      <c r="J640" s="13">
        <v>0</v>
      </c>
      <c r="K640" s="14" t="str">
        <f t="shared" ref="K640:K642" si="130">HYPERLINK("http://twitter.com/download/android","Twitter for Android")</f>
        <v>Twitter for Android</v>
      </c>
      <c r="L640" s="13">
        <v>143</v>
      </c>
      <c r="M640" s="13">
        <v>91</v>
      </c>
      <c r="N640" s="13">
        <v>2</v>
      </c>
      <c r="O640" s="15"/>
      <c r="P640" s="6">
        <v>42166.543541666666</v>
      </c>
      <c r="Q640" s="16" t="s">
        <v>371</v>
      </c>
      <c r="R640" s="17" t="s">
        <v>372</v>
      </c>
      <c r="S640" s="12"/>
      <c r="T640" s="12"/>
      <c r="U640" s="10" t="str">
        <f>HYPERLINK("https://pbs.twimg.com/profile_images/847880241892777992/Krxx7fp-.jpg","View")</f>
        <v>View</v>
      </c>
    </row>
    <row r="641" spans="1:21" ht="30.6">
      <c r="A641" s="6">
        <v>43426.521909722222</v>
      </c>
      <c r="B641" s="7" t="str">
        <f>HYPERLINK("https://twitter.com/Josegonsan","@Josegonsan")</f>
        <v>@Josegonsan</v>
      </c>
      <c r="C641" s="8" t="s">
        <v>112</v>
      </c>
      <c r="D641" s="9" t="s">
        <v>3632</v>
      </c>
      <c r="E641" s="10" t="str">
        <f>HYPERLINK("https://twitter.com/Josegonsan/status/1065568461840097280","1065568461840097280")</f>
        <v>1065568461840097280</v>
      </c>
      <c r="F641" s="12"/>
      <c r="G641" s="12"/>
      <c r="H641" s="12"/>
      <c r="I641" s="13">
        <v>0</v>
      </c>
      <c r="J641" s="13">
        <v>0</v>
      </c>
      <c r="K641" s="14" t="str">
        <f t="shared" si="130"/>
        <v>Twitter for Android</v>
      </c>
      <c r="L641" s="13">
        <v>23</v>
      </c>
      <c r="M641" s="13">
        <v>117</v>
      </c>
      <c r="N641" s="13">
        <v>0</v>
      </c>
      <c r="O641" s="15"/>
      <c r="P641" s="6">
        <v>42171.603854166664</v>
      </c>
      <c r="Q641" s="16" t="s">
        <v>116</v>
      </c>
      <c r="R641" s="19"/>
      <c r="S641" s="12"/>
      <c r="T641" s="12"/>
      <c r="U641" s="10" t="str">
        <f>HYPERLINK("https://pbs.twimg.com/profile_images/613410644201721857/9uDgGBog.jpg","View")</f>
        <v>View</v>
      </c>
    </row>
    <row r="642" spans="1:21" ht="40.799999999999997">
      <c r="A642" s="6">
        <v>43426.521354166667</v>
      </c>
      <c r="B642" s="7" t="str">
        <f>HYPERLINK("https://twitter.com/olduvay22","@olduvay22")</f>
        <v>@olduvay22</v>
      </c>
      <c r="C642" s="8" t="s">
        <v>1644</v>
      </c>
      <c r="D642" s="9" t="s">
        <v>1645</v>
      </c>
      <c r="E642" s="10" t="str">
        <f>HYPERLINK("https://twitter.com/olduvay22/status/1065568259808927744","1065568259808927744")</f>
        <v>1065568259808927744</v>
      </c>
      <c r="F642" s="11" t="s">
        <v>1646</v>
      </c>
      <c r="G642" s="12"/>
      <c r="H642" s="12"/>
      <c r="I642" s="13">
        <v>1</v>
      </c>
      <c r="J642" s="13">
        <v>1</v>
      </c>
      <c r="K642" s="14" t="str">
        <f t="shared" si="130"/>
        <v>Twitter for Android</v>
      </c>
      <c r="L642" s="13">
        <v>620</v>
      </c>
      <c r="M642" s="13">
        <v>689</v>
      </c>
      <c r="N642" s="13">
        <v>11</v>
      </c>
      <c r="O642" s="15"/>
      <c r="P642" s="6">
        <v>41967.429722222223</v>
      </c>
      <c r="Q642" s="12"/>
      <c r="R642" s="17" t="s">
        <v>1647</v>
      </c>
      <c r="S642" s="11" t="s">
        <v>1648</v>
      </c>
      <c r="T642" s="12"/>
      <c r="U642" s="10" t="str">
        <f>HYPERLINK("https://pbs.twimg.com/profile_images/1065277477935812608/QsufvDm1.jpg","View")</f>
        <v>View</v>
      </c>
    </row>
    <row r="643" spans="1:21" ht="20.399999999999999">
      <c r="A643" s="6">
        <v>43426.521168981482</v>
      </c>
      <c r="B643" s="7" t="str">
        <f>HYPERLINK("https://twitter.com/haternagaliza","@haternagaliza")</f>
        <v>@haternagaliza</v>
      </c>
      <c r="C643" s="8" t="s">
        <v>3637</v>
      </c>
      <c r="D643" s="9" t="s">
        <v>3638</v>
      </c>
      <c r="E643" s="10" t="str">
        <f>HYPERLINK("https://twitter.com/haternagaliza/status/1065568193899573249","1065568193899573249")</f>
        <v>1065568193899573249</v>
      </c>
      <c r="F643" s="12"/>
      <c r="G643" s="11" t="s">
        <v>3639</v>
      </c>
      <c r="H643" s="12"/>
      <c r="I643" s="13">
        <v>0</v>
      </c>
      <c r="J643" s="13">
        <v>0</v>
      </c>
      <c r="K643" s="14" t="str">
        <f t="shared" ref="K643:K647" si="131">HYPERLINK("http://twitter.com","Twitter Web Client")</f>
        <v>Twitter Web Client</v>
      </c>
      <c r="L643" s="13">
        <v>584</v>
      </c>
      <c r="M643" s="13">
        <v>976</v>
      </c>
      <c r="N643" s="13">
        <v>16</v>
      </c>
      <c r="O643" s="15"/>
      <c r="P643" s="6">
        <v>40819.683240740742</v>
      </c>
      <c r="Q643" s="12"/>
      <c r="R643" s="17" t="s">
        <v>3640</v>
      </c>
      <c r="S643" s="12"/>
      <c r="T643" s="12"/>
      <c r="U643" s="10" t="str">
        <f>HYPERLINK("https://pbs.twimg.com/profile_images/616358793182490624/5o_XIfgo.jpg","View")</f>
        <v>View</v>
      </c>
    </row>
    <row r="644" spans="1:21" ht="40.799999999999997">
      <c r="A644" s="6">
        <v>43426.520324074074</v>
      </c>
      <c r="B644" s="7" t="str">
        <f>HYPERLINK("https://twitter.com/John_Wysu","@John_Wysu")</f>
        <v>@John_Wysu</v>
      </c>
      <c r="C644" s="8" t="s">
        <v>3642</v>
      </c>
      <c r="D644" s="9" t="s">
        <v>3643</v>
      </c>
      <c r="E644" s="10" t="str">
        <f>HYPERLINK("https://twitter.com/John_Wysu/status/1065567887199518720","1065567887199518720")</f>
        <v>1065567887199518720</v>
      </c>
      <c r="F644" s="12"/>
      <c r="G644" s="12"/>
      <c r="H644" s="12"/>
      <c r="I644" s="13">
        <v>0</v>
      </c>
      <c r="J644" s="13">
        <v>0</v>
      </c>
      <c r="K644" s="14" t="str">
        <f t="shared" si="131"/>
        <v>Twitter Web Client</v>
      </c>
      <c r="L644" s="13">
        <v>157</v>
      </c>
      <c r="M644" s="13">
        <v>97</v>
      </c>
      <c r="N644" s="13">
        <v>2</v>
      </c>
      <c r="O644" s="15"/>
      <c r="P644" s="6">
        <v>40896.872118055559</v>
      </c>
      <c r="Q644" s="12"/>
      <c r="R644" s="17" t="s">
        <v>3645</v>
      </c>
      <c r="S644" s="11" t="s">
        <v>3646</v>
      </c>
      <c r="T644" s="12"/>
      <c r="U644" s="10" t="str">
        <f>HYPERLINK("https://pbs.twimg.com/profile_images/686283539512442880/BCWs-AwA.jpg","View")</f>
        <v>View</v>
      </c>
    </row>
    <row r="645" spans="1:21" ht="40.799999999999997">
      <c r="A645" s="6">
        <v>43426.519699074073</v>
      </c>
      <c r="B645" s="7" t="str">
        <f>HYPERLINK("https://twitter.com/Bernat_Castro","@Bernat_Castro")</f>
        <v>@Bernat_Castro</v>
      </c>
      <c r="C645" s="8" t="s">
        <v>3647</v>
      </c>
      <c r="D645" s="9" t="s">
        <v>3648</v>
      </c>
      <c r="E645" s="10" t="str">
        <f>HYPERLINK("https://twitter.com/Bernat_Castro/status/1065567660027592704","1065567660027592704")</f>
        <v>1065567660027592704</v>
      </c>
      <c r="F645" s="12"/>
      <c r="G645" s="11" t="s">
        <v>3651</v>
      </c>
      <c r="H645" s="12"/>
      <c r="I645" s="13">
        <v>409</v>
      </c>
      <c r="J645" s="13">
        <v>511</v>
      </c>
      <c r="K645" s="14" t="str">
        <f t="shared" si="131"/>
        <v>Twitter Web Client</v>
      </c>
      <c r="L645" s="13">
        <v>42985</v>
      </c>
      <c r="M645" s="13">
        <v>3005</v>
      </c>
      <c r="N645" s="13">
        <v>132</v>
      </c>
      <c r="O645" s="15"/>
      <c r="P645" s="6">
        <v>43201.593715277777</v>
      </c>
      <c r="Q645" s="16" t="s">
        <v>3652</v>
      </c>
      <c r="R645" s="17" t="s">
        <v>3653</v>
      </c>
      <c r="S645" s="11" t="s">
        <v>3654</v>
      </c>
      <c r="T645" s="12"/>
      <c r="U645" s="10" t="str">
        <f>HYPERLINK("https://pbs.twimg.com/profile_images/1059802564957483009/Cm2t_qW0.jpg","View")</f>
        <v>View</v>
      </c>
    </row>
    <row r="646" spans="1:21" ht="40.799999999999997">
      <c r="A646" s="6">
        <v>43426.519085648149</v>
      </c>
      <c r="B646" s="7" t="str">
        <f>HYPERLINK("https://twitter.com/_InakiLopez_","@_InakiLopez_")</f>
        <v>@_InakiLopez_</v>
      </c>
      <c r="C646" s="8" t="s">
        <v>667</v>
      </c>
      <c r="D646" s="9" t="s">
        <v>1649</v>
      </c>
      <c r="E646" s="10" t="str">
        <f>HYPERLINK("https://twitter.com/_InakiLopez_/status/1065567440204165120","1065567440204165120")</f>
        <v>1065567440204165120</v>
      </c>
      <c r="F646" s="12"/>
      <c r="G646" s="12"/>
      <c r="H646" s="12"/>
      <c r="I646" s="13">
        <v>6</v>
      </c>
      <c r="J646" s="13">
        <v>22</v>
      </c>
      <c r="K646" s="14" t="str">
        <f t="shared" si="131"/>
        <v>Twitter Web Client</v>
      </c>
      <c r="L646" s="13">
        <v>85146</v>
      </c>
      <c r="M646" s="13">
        <v>1650</v>
      </c>
      <c r="N646" s="13">
        <v>747</v>
      </c>
      <c r="O646" s="18" t="s">
        <v>36</v>
      </c>
      <c r="P646" s="6">
        <v>41355.804861111115</v>
      </c>
      <c r="Q646" s="12"/>
      <c r="R646" s="17" t="s">
        <v>669</v>
      </c>
      <c r="S646" s="12"/>
      <c r="T646" s="12"/>
      <c r="U646" s="10" t="str">
        <f>HYPERLINK("https://pbs.twimg.com/profile_images/378800000760937591/cd9aae8be022a1cff7d440b2e9b4ba95.jpeg","View")</f>
        <v>View</v>
      </c>
    </row>
    <row r="647" spans="1:21" ht="30.6">
      <c r="A647" s="6">
        <v>43426.517280092594</v>
      </c>
      <c r="B647" s="7" t="str">
        <f>HYPERLINK("https://twitter.com/pradoalberdi","@pradoalberdi")</f>
        <v>@pradoalberdi</v>
      </c>
      <c r="C647" s="8" t="s">
        <v>3659</v>
      </c>
      <c r="D647" s="9" t="s">
        <v>1503</v>
      </c>
      <c r="E647" s="10" t="str">
        <f>HYPERLINK("https://twitter.com/pradoalberdi/status/1065566784990924802","1065566784990924802")</f>
        <v>1065566784990924802</v>
      </c>
      <c r="F647" s="11" t="s">
        <v>1504</v>
      </c>
      <c r="G647" s="12"/>
      <c r="H647" s="12"/>
      <c r="I647" s="13">
        <v>0</v>
      </c>
      <c r="J647" s="13">
        <v>0</v>
      </c>
      <c r="K647" s="14" t="str">
        <f t="shared" si="131"/>
        <v>Twitter Web Client</v>
      </c>
      <c r="L647" s="13">
        <v>2749</v>
      </c>
      <c r="M647" s="13">
        <v>2753</v>
      </c>
      <c r="N647" s="13">
        <v>76</v>
      </c>
      <c r="O647" s="15"/>
      <c r="P647" s="6">
        <v>39912.997858796298</v>
      </c>
      <c r="Q647" s="16" t="s">
        <v>3661</v>
      </c>
      <c r="R647" s="17" t="s">
        <v>3662</v>
      </c>
      <c r="S647" s="11" t="s">
        <v>3663</v>
      </c>
      <c r="T647" s="12"/>
      <c r="U647" s="10" t="str">
        <f>HYPERLINK("https://pbs.twimg.com/profile_images/1471182899/ALBERDI_PERFIL.jpg","View")</f>
        <v>View</v>
      </c>
    </row>
    <row r="648" spans="1:21" ht="30.6">
      <c r="A648" s="6">
        <v>43426.516666666663</v>
      </c>
      <c r="B648" s="7" t="str">
        <f>HYPERLINK("https://twitter.com/CiudadanosCs","@CiudadanosCs")</f>
        <v>@CiudadanosCs</v>
      </c>
      <c r="C648" s="8" t="s">
        <v>196</v>
      </c>
      <c r="D648" s="9" t="s">
        <v>1651</v>
      </c>
      <c r="E648" s="10" t="str">
        <f>HYPERLINK("https://twitter.com/CiudadanosCs/status/1065566562181152768","1065566562181152768")</f>
        <v>1065566562181152768</v>
      </c>
      <c r="F648" s="12"/>
      <c r="G648" s="11" t="s">
        <v>1652</v>
      </c>
      <c r="H648" s="12"/>
      <c r="I648" s="13">
        <v>15</v>
      </c>
      <c r="J648" s="13">
        <v>20</v>
      </c>
      <c r="K648" s="14" t="str">
        <f>HYPERLINK("https://studio.twitter.com","Media Studio")</f>
        <v>Media Studio</v>
      </c>
      <c r="L648" s="13">
        <v>486503</v>
      </c>
      <c r="M648" s="13">
        <v>93653</v>
      </c>
      <c r="N648" s="13">
        <v>3318</v>
      </c>
      <c r="O648" s="18" t="s">
        <v>36</v>
      </c>
      <c r="P648" s="6">
        <v>39828.753460648149</v>
      </c>
      <c r="Q648" s="16" t="s">
        <v>37</v>
      </c>
      <c r="R648" s="17" t="s">
        <v>202</v>
      </c>
      <c r="S648" s="11" t="s">
        <v>203</v>
      </c>
      <c r="T648" s="12"/>
      <c r="U648" s="10" t="str">
        <f>HYPERLINK("https://pbs.twimg.com/profile_images/1053554096161075200/1z77_zBZ.jpg","View")</f>
        <v>View</v>
      </c>
    </row>
    <row r="649" spans="1:21" ht="102">
      <c r="A649" s="6">
        <v>43426.515370370369</v>
      </c>
      <c r="B649" s="7" t="str">
        <f>HYPERLINK("https://twitter.com/HerasMada","@HerasMada")</f>
        <v>@HerasMada</v>
      </c>
      <c r="C649" s="8" t="s">
        <v>1657</v>
      </c>
      <c r="D649" s="9" t="s">
        <v>1658</v>
      </c>
      <c r="E649" s="10" t="str">
        <f>HYPERLINK("https://twitter.com/HerasMada/status/1065566093996187653","1065566093996187653")</f>
        <v>1065566093996187653</v>
      </c>
      <c r="F649" s="16" t="s">
        <v>1660</v>
      </c>
      <c r="G649" s="12"/>
      <c r="H649" s="12"/>
      <c r="I649" s="13">
        <v>0</v>
      </c>
      <c r="J649" s="13">
        <v>0</v>
      </c>
      <c r="K649" s="14" t="str">
        <f>HYPERLINK("http://twitter.com","Twitter Web Client")</f>
        <v>Twitter Web Client</v>
      </c>
      <c r="L649" s="13">
        <v>669</v>
      </c>
      <c r="M649" s="13">
        <v>948</v>
      </c>
      <c r="N649" s="13">
        <v>11</v>
      </c>
      <c r="O649" s="15"/>
      <c r="P649" s="6">
        <v>40880.467465277776</v>
      </c>
      <c r="Q649" s="12"/>
      <c r="R649" s="17" t="s">
        <v>1663</v>
      </c>
      <c r="S649" s="11" t="s">
        <v>1664</v>
      </c>
      <c r="T649" s="12"/>
      <c r="U649" s="10" t="str">
        <f>HYPERLINK("https://pbs.twimg.com/profile_images/961909869937819649/FVR2iJbw.jpg","View")</f>
        <v>View</v>
      </c>
    </row>
    <row r="650" spans="1:21" ht="51">
      <c r="A650" s="6">
        <v>43426.514594907407</v>
      </c>
      <c r="B650" s="7" t="str">
        <f>HYPERLINK("https://twitter.com/manutorre72","@manutorre72")</f>
        <v>@manutorre72</v>
      </c>
      <c r="C650" s="8" t="s">
        <v>1666</v>
      </c>
      <c r="D650" s="9" t="s">
        <v>1667</v>
      </c>
      <c r="E650" s="10" t="str">
        <f>HYPERLINK("https://twitter.com/manutorre72/status/1065565810113085440","1065565810113085440")</f>
        <v>1065565810113085440</v>
      </c>
      <c r="F650" s="11" t="s">
        <v>1668</v>
      </c>
      <c r="G650" s="12"/>
      <c r="H650" s="12"/>
      <c r="I650" s="13">
        <v>1</v>
      </c>
      <c r="J650" s="13">
        <v>1</v>
      </c>
      <c r="K650" s="14" t="str">
        <f>HYPERLINK("https://mobile.twitter.com","Twitter Lite")</f>
        <v>Twitter Lite</v>
      </c>
      <c r="L650" s="13">
        <v>776</v>
      </c>
      <c r="M650" s="13">
        <v>448</v>
      </c>
      <c r="N650" s="13">
        <v>16</v>
      </c>
      <c r="O650" s="15"/>
      <c r="P650" s="6">
        <v>41307.48400462963</v>
      </c>
      <c r="Q650" s="16" t="s">
        <v>1669</v>
      </c>
      <c r="R650" s="19"/>
      <c r="S650" s="12"/>
      <c r="T650" s="12"/>
      <c r="U650" s="10" t="str">
        <f>HYPERLINK("https://pbs.twimg.com/profile_images/972014539427459072/KS1Yche6.jpg","View")</f>
        <v>View</v>
      </c>
    </row>
    <row r="651" spans="1:21" ht="40.799999999999997">
      <c r="A651" s="6">
        <v>43426.513043981482</v>
      </c>
      <c r="B651" s="7" t="str">
        <f>HYPERLINK("https://twitter.com/camaraldo","@camaraldo")</f>
        <v>@camaraldo</v>
      </c>
      <c r="C651" s="8" t="s">
        <v>3670</v>
      </c>
      <c r="D651" s="9" t="s">
        <v>3671</v>
      </c>
      <c r="E651" s="10" t="str">
        <f>HYPERLINK("https://twitter.com/camaraldo/status/1065565248332185600","1065565248332185600")</f>
        <v>1065565248332185600</v>
      </c>
      <c r="F651" s="11" t="s">
        <v>3674</v>
      </c>
      <c r="G651" s="12"/>
      <c r="H651" s="12"/>
      <c r="I651" s="13">
        <v>0</v>
      </c>
      <c r="J651" s="13">
        <v>0</v>
      </c>
      <c r="K651" s="14" t="str">
        <f t="shared" ref="K651:K652" si="132">HYPERLINK("http://twitter.com/download/android","Twitter for Android")</f>
        <v>Twitter for Android</v>
      </c>
      <c r="L651" s="13">
        <v>61</v>
      </c>
      <c r="M651" s="13">
        <v>212</v>
      </c>
      <c r="N651" s="13">
        <v>0</v>
      </c>
      <c r="O651" s="15"/>
      <c r="P651" s="6">
        <v>42832.498020833329</v>
      </c>
      <c r="Q651" s="16" t="s">
        <v>3676</v>
      </c>
      <c r="R651" s="17" t="s">
        <v>3678</v>
      </c>
      <c r="S651" s="12"/>
      <c r="T651" s="12"/>
      <c r="U651" s="10" t="str">
        <f>HYPERLINK("https://pbs.twimg.com/profile_images/852978072844464129/_6zOroe2.jpg","View")</f>
        <v>View</v>
      </c>
    </row>
    <row r="652" spans="1:21" ht="30.6">
      <c r="A652" s="6">
        <v>43426.51295138889</v>
      </c>
      <c r="B652" s="7" t="str">
        <f>HYPERLINK("https://twitter.com/cande_31ska","@cande_31ska")</f>
        <v>@cande_31ska</v>
      </c>
      <c r="C652" s="8" t="s">
        <v>3680</v>
      </c>
      <c r="D652" s="9" t="s">
        <v>3681</v>
      </c>
      <c r="E652" s="10" t="str">
        <f>HYPERLINK("https://twitter.com/cande_31ska/status/1065565217927643136","1065565217927643136")</f>
        <v>1065565217927643136</v>
      </c>
      <c r="F652" s="12"/>
      <c r="G652" s="12"/>
      <c r="H652" s="12"/>
      <c r="I652" s="13">
        <v>0</v>
      </c>
      <c r="J652" s="13">
        <v>0</v>
      </c>
      <c r="K652" s="14" t="str">
        <f t="shared" si="132"/>
        <v>Twitter for Android</v>
      </c>
      <c r="L652" s="13">
        <v>247</v>
      </c>
      <c r="M652" s="13">
        <v>545</v>
      </c>
      <c r="N652" s="13">
        <v>0</v>
      </c>
      <c r="O652" s="15"/>
      <c r="P652" s="6">
        <v>41427.899467592593</v>
      </c>
      <c r="Q652" s="16" t="s">
        <v>3683</v>
      </c>
      <c r="R652" s="17" t="s">
        <v>3684</v>
      </c>
      <c r="S652" s="12"/>
      <c r="T652" s="12"/>
      <c r="U652" s="10" t="str">
        <f>HYPERLINK("https://pbs.twimg.com/profile_images/1039568750884864000/FqtaAa8a.jpg","View")</f>
        <v>View</v>
      </c>
    </row>
    <row r="653" spans="1:21" ht="51">
      <c r="A653" s="6">
        <v>43426.512430555551</v>
      </c>
      <c r="B653" s="7" t="str">
        <f>HYPERLINK("https://twitter.com/NoNacionalistaX","@NoNacionalistaX")</f>
        <v>@NoNacionalistaX</v>
      </c>
      <c r="C653" s="8" t="s">
        <v>3685</v>
      </c>
      <c r="D653" s="9" t="s">
        <v>3686</v>
      </c>
      <c r="E653" s="10" t="str">
        <f>HYPERLINK("https://twitter.com/NoNacionalistaX/status/1065565026688425984","1065565026688425984")</f>
        <v>1065565026688425984</v>
      </c>
      <c r="F653" s="11" t="s">
        <v>3688</v>
      </c>
      <c r="G653" s="12"/>
      <c r="H653" s="12"/>
      <c r="I653" s="13">
        <v>0</v>
      </c>
      <c r="J653" s="13">
        <v>0</v>
      </c>
      <c r="K653" s="14" t="str">
        <f>HYPERLINK("http://twitter.com/download/iphone","Twitter for iPhone")</f>
        <v>Twitter for iPhone</v>
      </c>
      <c r="L653" s="13">
        <v>4830</v>
      </c>
      <c r="M653" s="13">
        <v>4768</v>
      </c>
      <c r="N653" s="13">
        <v>33</v>
      </c>
      <c r="O653" s="15"/>
      <c r="P653" s="6">
        <v>40476.898425925923</v>
      </c>
      <c r="Q653" s="16" t="s">
        <v>3689</v>
      </c>
      <c r="R653" s="17" t="s">
        <v>3690</v>
      </c>
      <c r="S653" s="11" t="s">
        <v>3691</v>
      </c>
      <c r="T653" s="12"/>
      <c r="U653" s="10" t="str">
        <f>HYPERLINK("https://pbs.twimg.com/profile_images/1024658764039905280/8BdGzKXR.jpg","View")</f>
        <v>View</v>
      </c>
    </row>
    <row r="654" spans="1:21" ht="51">
      <c r="A654" s="6">
        <v>43426.511597222227</v>
      </c>
      <c r="B654" s="7" t="str">
        <f>HYPERLINK("https://twitter.com/scgwrestling","@scgwrestling")</f>
        <v>@scgwrestling</v>
      </c>
      <c r="C654" s="8" t="s">
        <v>3692</v>
      </c>
      <c r="D654" s="9" t="s">
        <v>3693</v>
      </c>
      <c r="E654" s="10" t="str">
        <f>HYPERLINK("https://twitter.com/scgwrestling/status/1065564724912447488","1065564724912447488")</f>
        <v>1065564724912447488</v>
      </c>
      <c r="F654" s="16" t="s">
        <v>64</v>
      </c>
      <c r="G654" s="11" t="s">
        <v>65</v>
      </c>
      <c r="H654" s="12"/>
      <c r="I654" s="13">
        <v>0</v>
      </c>
      <c r="J654" s="13">
        <v>0</v>
      </c>
      <c r="K654" s="14" t="str">
        <f>HYPERLINK("http://twitter.com/download/android","Twitter for Android")</f>
        <v>Twitter for Android</v>
      </c>
      <c r="L654" s="13">
        <v>272</v>
      </c>
      <c r="M654" s="13">
        <v>733</v>
      </c>
      <c r="N654" s="13">
        <v>2</v>
      </c>
      <c r="O654" s="15"/>
      <c r="P654" s="6">
        <v>43287.649050925931</v>
      </c>
      <c r="Q654" s="16" t="s">
        <v>3697</v>
      </c>
      <c r="R654" s="17" t="s">
        <v>3698</v>
      </c>
      <c r="S654" s="12"/>
      <c r="T654" s="12"/>
      <c r="U654" s="10" t="str">
        <f>HYPERLINK("https://pbs.twimg.com/profile_images/1063618470515011584/5OjPFDKx.jpg","View")</f>
        <v>View</v>
      </c>
    </row>
    <row r="655" spans="1:21" ht="40.799999999999997">
      <c r="A655" s="6">
        <v>43426.511157407411</v>
      </c>
      <c r="B655" s="7" t="str">
        <f>HYPERLINK("https://twitter.com/Aalegre_Alberto","@Aalegre_Alberto")</f>
        <v>@Aalegre_Alberto</v>
      </c>
      <c r="C655" s="8" t="s">
        <v>3701</v>
      </c>
      <c r="D655" s="9" t="s">
        <v>3702</v>
      </c>
      <c r="E655" s="10" t="str">
        <f>HYPERLINK("https://twitter.com/Aalegre_Alberto/status/1065564564480233473","1065564564480233473")</f>
        <v>1065564564480233473</v>
      </c>
      <c r="F655" s="12"/>
      <c r="G655" s="12"/>
      <c r="H655" s="12"/>
      <c r="I655" s="13">
        <v>0</v>
      </c>
      <c r="J655" s="13">
        <v>2</v>
      </c>
      <c r="K655" s="14" t="str">
        <f>HYPERLINK("http://twitter.com","Twitter Web Client")</f>
        <v>Twitter Web Client</v>
      </c>
      <c r="L655" s="13">
        <v>148</v>
      </c>
      <c r="M655" s="13">
        <v>745</v>
      </c>
      <c r="N655" s="13">
        <v>2</v>
      </c>
      <c r="O655" s="15"/>
      <c r="P655" s="6">
        <v>42209.846689814818</v>
      </c>
      <c r="Q655" s="16" t="s">
        <v>3706</v>
      </c>
      <c r="R655" s="17" t="s">
        <v>3708</v>
      </c>
      <c r="S655" s="12"/>
      <c r="T655" s="12"/>
      <c r="U655" s="10" t="str">
        <f>HYPERLINK("https://pbs.twimg.com/profile_images/1028578806175551488/oES6caNL.jpg","View")</f>
        <v>View</v>
      </c>
    </row>
    <row r="656" spans="1:21" ht="20.399999999999999">
      <c r="A656" s="6">
        <v>43426.510995370365</v>
      </c>
      <c r="B656" s="7" t="str">
        <f>HYPERLINK("https://twitter.com/jcarloslh","@jcarloslh")</f>
        <v>@jcarloslh</v>
      </c>
      <c r="C656" s="8" t="s">
        <v>3709</v>
      </c>
      <c r="D656" s="9" t="s">
        <v>3710</v>
      </c>
      <c r="E656" s="10" t="str">
        <f>HYPERLINK("https://twitter.com/jcarloslh/status/1065564508813475840","1065564508813475840")</f>
        <v>1065564508813475840</v>
      </c>
      <c r="F656" s="11" t="s">
        <v>3711</v>
      </c>
      <c r="G656" s="12"/>
      <c r="H656" s="12"/>
      <c r="I656" s="13">
        <v>0</v>
      </c>
      <c r="J656" s="13">
        <v>0</v>
      </c>
      <c r="K656" s="14" t="str">
        <f>HYPERLINK("http://www.facebook.com/twitter","Facebook")</f>
        <v>Facebook</v>
      </c>
      <c r="L656" s="13">
        <v>186</v>
      </c>
      <c r="M656" s="13">
        <v>190</v>
      </c>
      <c r="N656" s="13">
        <v>9</v>
      </c>
      <c r="O656" s="15"/>
      <c r="P656" s="6">
        <v>40433.91541666667</v>
      </c>
      <c r="Q656" s="16" t="s">
        <v>37</v>
      </c>
      <c r="R656" s="19"/>
      <c r="S656" s="12"/>
      <c r="T656" s="12"/>
      <c r="U656" s="10" t="str">
        <f>HYPERLINK("https://pbs.twimg.com/profile_images/3399813895/ffa75fdcb08baf5251d475f9fca4c818.jpeg","View")</f>
        <v>View</v>
      </c>
    </row>
    <row r="657" spans="1:21" ht="51">
      <c r="A657" s="6">
        <v>43426.51085648148</v>
      </c>
      <c r="B657" s="7" t="str">
        <f>HYPERLINK("https://twitter.com/mariteremoto","@mariteremoto")</f>
        <v>@mariteremoto</v>
      </c>
      <c r="C657" s="8" t="s">
        <v>524</v>
      </c>
      <c r="D657" s="9" t="s">
        <v>1670</v>
      </c>
      <c r="E657" s="10" t="str">
        <f>HYPERLINK("https://twitter.com/mariteremoto/status/1065564455206100992","1065564455206100992")</f>
        <v>1065564455206100992</v>
      </c>
      <c r="F657" s="12"/>
      <c r="G657" s="12"/>
      <c r="H657" s="12"/>
      <c r="I657" s="13">
        <v>1</v>
      </c>
      <c r="J657" s="13">
        <v>2</v>
      </c>
      <c r="K657" s="14" t="str">
        <f>HYPERLINK("http://twitter.com/download/android","Twitter for Android")</f>
        <v>Twitter for Android</v>
      </c>
      <c r="L657" s="13">
        <v>1199</v>
      </c>
      <c r="M657" s="13">
        <v>448</v>
      </c>
      <c r="N657" s="13">
        <v>60</v>
      </c>
      <c r="O657" s="15"/>
      <c r="P657" s="6">
        <v>40853.553159722222</v>
      </c>
      <c r="Q657" s="16" t="s">
        <v>496</v>
      </c>
      <c r="R657" s="17" t="s">
        <v>528</v>
      </c>
      <c r="S657" s="12"/>
      <c r="T657" s="12"/>
      <c r="U657" s="10" t="str">
        <f>HYPERLINK("https://pbs.twimg.com/profile_images/539871709667790848/IWbTmB0i.jpeg","View")</f>
        <v>View</v>
      </c>
    </row>
    <row r="658" spans="1:21" ht="51">
      <c r="A658" s="6">
        <v>43426.508888888886</v>
      </c>
      <c r="B658" s="7" t="str">
        <f>HYPERLINK("https://twitter.com/Davidoff_bcn","@Davidoff_bcn")</f>
        <v>@Davidoff_bcn</v>
      </c>
      <c r="C658" s="8" t="s">
        <v>236</v>
      </c>
      <c r="D658" s="9" t="s">
        <v>1675</v>
      </c>
      <c r="E658" s="10" t="str">
        <f>HYPERLINK("https://twitter.com/Davidoff_bcn/status/1065563742405054464","1065563742405054464")</f>
        <v>1065563742405054464</v>
      </c>
      <c r="F658" s="16" t="s">
        <v>1565</v>
      </c>
      <c r="G658" s="12"/>
      <c r="H658" s="12"/>
      <c r="I658" s="13">
        <v>1</v>
      </c>
      <c r="J658" s="13">
        <v>0</v>
      </c>
      <c r="K658" s="14" t="str">
        <f>HYPERLINK("http://twitter.com/download/iphone","Twitter for iPhone")</f>
        <v>Twitter for iPhone</v>
      </c>
      <c r="L658" s="13">
        <v>5184</v>
      </c>
      <c r="M658" s="13">
        <v>5228</v>
      </c>
      <c r="N658" s="13">
        <v>1</v>
      </c>
      <c r="O658" s="15"/>
      <c r="P658" s="6">
        <v>42071.60256944444</v>
      </c>
      <c r="Q658" s="12"/>
      <c r="R658" s="17" t="s">
        <v>240</v>
      </c>
      <c r="S658" s="12"/>
      <c r="T658" s="12"/>
      <c r="U658" s="10" t="str">
        <f>HYPERLINK("https://pbs.twimg.com/profile_images/1035164459612954624/zfxdH09k.jpg","View")</f>
        <v>View</v>
      </c>
    </row>
    <row r="659" spans="1:21" ht="51">
      <c r="A659" s="6">
        <v>43426.508460648147</v>
      </c>
      <c r="B659" s="7" t="str">
        <f>HYPERLINK("https://twitter.com/NievesJemezB","@NievesJemezB")</f>
        <v>@NievesJemezB</v>
      </c>
      <c r="C659" s="8" t="s">
        <v>3719</v>
      </c>
      <c r="D659" s="9" t="s">
        <v>3720</v>
      </c>
      <c r="E659" s="10" t="str">
        <f>HYPERLINK("https://twitter.com/NievesJemezB/status/1065563590801965056","1065563590801965056")</f>
        <v>1065563590801965056</v>
      </c>
      <c r="F659" s="12"/>
      <c r="G659" s="12"/>
      <c r="H659" s="12"/>
      <c r="I659" s="13">
        <v>0</v>
      </c>
      <c r="J659" s="13">
        <v>1</v>
      </c>
      <c r="K659" s="14" t="str">
        <f>HYPERLINK("http://twitter.com","Twitter Web Client")</f>
        <v>Twitter Web Client</v>
      </c>
      <c r="L659" s="13">
        <v>1476</v>
      </c>
      <c r="M659" s="13">
        <v>1431</v>
      </c>
      <c r="N659" s="13">
        <v>40</v>
      </c>
      <c r="O659" s="15"/>
      <c r="P659" s="6">
        <v>41331.81621527778</v>
      </c>
      <c r="Q659" s="16" t="s">
        <v>3721</v>
      </c>
      <c r="R659" s="17" t="s">
        <v>3722</v>
      </c>
      <c r="S659" s="11" t="s">
        <v>3723</v>
      </c>
      <c r="T659" s="12"/>
      <c r="U659" s="10" t="str">
        <f>HYPERLINK("https://pbs.twimg.com/profile_images/991727206668931072/FYArZrk1.jpg","View")</f>
        <v>View</v>
      </c>
    </row>
    <row r="660" spans="1:21" ht="71.400000000000006">
      <c r="A660" s="6">
        <v>43426.508090277777</v>
      </c>
      <c r="B660" s="7" t="str">
        <f>HYPERLINK("https://twitter.com/geniotweets","@geniotweets")</f>
        <v>@geniotweets</v>
      </c>
      <c r="C660" s="8" t="s">
        <v>1679</v>
      </c>
      <c r="D660" s="9" t="s">
        <v>1680</v>
      </c>
      <c r="E660" s="10" t="str">
        <f>HYPERLINK("https://twitter.com/geniotweets/status/1065563456760438785","1065563456760438785")</f>
        <v>1065563456760438785</v>
      </c>
      <c r="F660" s="11" t="s">
        <v>1682</v>
      </c>
      <c r="G660" s="12"/>
      <c r="H660" s="12"/>
      <c r="I660" s="13">
        <v>2</v>
      </c>
      <c r="J660" s="13">
        <v>3</v>
      </c>
      <c r="K660" s="14" t="str">
        <f>HYPERLINK("http://twitter.com/download/android","Twitter for Android")</f>
        <v>Twitter for Android</v>
      </c>
      <c r="L660" s="13">
        <v>21460</v>
      </c>
      <c r="M660" s="13">
        <v>25012</v>
      </c>
      <c r="N660" s="13">
        <v>91</v>
      </c>
      <c r="O660" s="15"/>
      <c r="P660" s="6">
        <v>40775.235555555555</v>
      </c>
      <c r="Q660" s="16" t="s">
        <v>1684</v>
      </c>
      <c r="R660" s="17" t="s">
        <v>1685</v>
      </c>
      <c r="S660" s="11" t="s">
        <v>1686</v>
      </c>
      <c r="T660" s="12"/>
      <c r="U660" s="10" t="str">
        <f>HYPERLINK("https://pbs.twimg.com/profile_images/378800000356921622/27bc1934f682bbebf284d443675565e2.jpeg","View")</f>
        <v>View</v>
      </c>
    </row>
    <row r="661" spans="1:21" ht="20.399999999999999">
      <c r="A661" s="6">
        <v>43426.506469907406</v>
      </c>
      <c r="B661" s="7" t="str">
        <f>HYPERLINK("https://twitter.com/DiazHortas","@DiazHortas")</f>
        <v>@DiazHortas</v>
      </c>
      <c r="C661" s="8" t="s">
        <v>3729</v>
      </c>
      <c r="D661" s="9" t="s">
        <v>1697</v>
      </c>
      <c r="E661" s="10" t="str">
        <f>HYPERLINK("https://twitter.com/DiazHortas/status/1065562866441494528","1065562866441494528")</f>
        <v>1065562866441494528</v>
      </c>
      <c r="F661" s="11" t="s">
        <v>1700</v>
      </c>
      <c r="G661" s="12"/>
      <c r="H661" s="12"/>
      <c r="I661" s="13">
        <v>0</v>
      </c>
      <c r="J661" s="13">
        <v>0</v>
      </c>
      <c r="K661" s="14" t="str">
        <f>HYPERLINK("http://twitter.com","Twitter Web Client")</f>
        <v>Twitter Web Client</v>
      </c>
      <c r="L661" s="13">
        <v>1321</v>
      </c>
      <c r="M661" s="13">
        <v>1114</v>
      </c>
      <c r="N661" s="13">
        <v>69</v>
      </c>
      <c r="O661" s="15"/>
      <c r="P661" s="6">
        <v>42047.42224537037</v>
      </c>
      <c r="Q661" s="16" t="s">
        <v>3730</v>
      </c>
      <c r="R661" s="17" t="s">
        <v>3731</v>
      </c>
      <c r="S661" s="12"/>
      <c r="T661" s="12"/>
      <c r="U661" s="10" t="str">
        <f>HYPERLINK("https://pbs.twimg.com/profile_images/746652080694267904/1CToGNmh.jpg","View")</f>
        <v>View</v>
      </c>
    </row>
    <row r="662" spans="1:21" ht="51">
      <c r="A662" s="6">
        <v>43426.504560185189</v>
      </c>
      <c r="B662" s="7" t="str">
        <f>HYPERLINK("https://twitter.com/mariteremoto","@mariteremoto")</f>
        <v>@mariteremoto</v>
      </c>
      <c r="C662" s="8" t="s">
        <v>524</v>
      </c>
      <c r="D662" s="9" t="s">
        <v>1687</v>
      </c>
      <c r="E662" s="10" t="str">
        <f>HYPERLINK("https://twitter.com/mariteremoto/status/1065562176201596928","1065562176201596928")</f>
        <v>1065562176201596928</v>
      </c>
      <c r="F662" s="12"/>
      <c r="G662" s="12"/>
      <c r="H662" s="12"/>
      <c r="I662" s="13">
        <v>0</v>
      </c>
      <c r="J662" s="13">
        <v>0</v>
      </c>
      <c r="K662" s="14" t="str">
        <f>HYPERLINK("http://twitter.com/download/android","Twitter for Android")</f>
        <v>Twitter for Android</v>
      </c>
      <c r="L662" s="13">
        <v>1199</v>
      </c>
      <c r="M662" s="13">
        <v>448</v>
      </c>
      <c r="N662" s="13">
        <v>60</v>
      </c>
      <c r="O662" s="15"/>
      <c r="P662" s="6">
        <v>40853.553159722222</v>
      </c>
      <c r="Q662" s="16" t="s">
        <v>496</v>
      </c>
      <c r="R662" s="17" t="s">
        <v>528</v>
      </c>
      <c r="S662" s="12"/>
      <c r="T662" s="12"/>
      <c r="U662" s="10" t="str">
        <f>HYPERLINK("https://pbs.twimg.com/profile_images/539871709667790848/IWbTmB0i.jpeg","View")</f>
        <v>View</v>
      </c>
    </row>
    <row r="663" spans="1:21" ht="20.399999999999999">
      <c r="A663" s="6">
        <v>43426.503518518519</v>
      </c>
      <c r="B663" s="7" t="str">
        <f>HYPERLINK("https://twitter.com/sextaNoticias","@sextaNoticias")</f>
        <v>@sextaNoticias</v>
      </c>
      <c r="C663" s="8" t="s">
        <v>3736</v>
      </c>
      <c r="D663" s="9" t="s">
        <v>3085</v>
      </c>
      <c r="E663" s="10" t="str">
        <f>HYPERLINK("https://twitter.com/sextaNoticias/status/1065561797925715968","1065561797925715968")</f>
        <v>1065561797925715968</v>
      </c>
      <c r="F663" s="11" t="s">
        <v>3737</v>
      </c>
      <c r="G663" s="12"/>
      <c r="H663" s="12"/>
      <c r="I663" s="13">
        <v>4</v>
      </c>
      <c r="J663" s="13">
        <v>17</v>
      </c>
      <c r="K663" s="14" t="str">
        <f>HYPERLINK("http://dogtrack.es","DogTrack_Oficial")</f>
        <v>DogTrack_Oficial</v>
      </c>
      <c r="L663" s="13">
        <v>1108910</v>
      </c>
      <c r="M663" s="13">
        <v>279</v>
      </c>
      <c r="N663" s="13">
        <v>7292</v>
      </c>
      <c r="O663" s="18" t="s">
        <v>36</v>
      </c>
      <c r="P663" s="6">
        <v>40099.614328703705</v>
      </c>
      <c r="Q663" s="12"/>
      <c r="R663" s="17" t="s">
        <v>3740</v>
      </c>
      <c r="S663" s="11" t="s">
        <v>3741</v>
      </c>
      <c r="T663" s="12"/>
      <c r="U663" s="10" t="str">
        <f>HYPERLINK("https://pbs.twimg.com/profile_images/898970208551022592/hh3ITSK-.jpg","View")</f>
        <v>View</v>
      </c>
    </row>
    <row r="664" spans="1:21" ht="40.799999999999997">
      <c r="A664" s="6">
        <v>43426.503506944442</v>
      </c>
      <c r="B664" s="7" t="str">
        <f>HYPERLINK("https://twitter.com/La_Cerca","@La_Cerca")</f>
        <v>@La_Cerca</v>
      </c>
      <c r="C664" s="8" t="s">
        <v>167</v>
      </c>
      <c r="D664" s="9" t="s">
        <v>1688</v>
      </c>
      <c r="E664" s="10" t="str">
        <f>HYPERLINK("https://twitter.com/La_Cerca/status/1065561792024363008","1065561792024363008")</f>
        <v>1065561792024363008</v>
      </c>
      <c r="F664" s="11" t="s">
        <v>1691</v>
      </c>
      <c r="G664" s="12"/>
      <c r="H664" s="12"/>
      <c r="I664" s="13">
        <v>0</v>
      </c>
      <c r="J664" s="13">
        <v>0</v>
      </c>
      <c r="K664" s="14" t="str">
        <f>HYPERLINK("http://www.lacerca.com","La Cerca")</f>
        <v>La Cerca</v>
      </c>
      <c r="L664" s="13">
        <v>18963</v>
      </c>
      <c r="M664" s="13">
        <v>4967</v>
      </c>
      <c r="N664" s="13">
        <v>336</v>
      </c>
      <c r="O664" s="18" t="s">
        <v>36</v>
      </c>
      <c r="P664" s="6">
        <v>40007.429652777777</v>
      </c>
      <c r="Q664" s="16" t="s">
        <v>171</v>
      </c>
      <c r="R664" s="17" t="s">
        <v>172</v>
      </c>
      <c r="S664" s="11" t="s">
        <v>173</v>
      </c>
      <c r="T664" s="12"/>
      <c r="U664" s="10" t="str">
        <f>HYPERLINK("https://pbs.twimg.com/profile_images/1046758213843111937/MFsiNfy0.jpg","View")</f>
        <v>View</v>
      </c>
    </row>
    <row r="665" spans="1:21" ht="51">
      <c r="A665" s="6">
        <v>43426.503449074073</v>
      </c>
      <c r="B665" s="7" t="str">
        <f>HYPERLINK("https://twitter.com/jonathanmc_1996","@jonathanmc_1996")</f>
        <v>@jonathanmc_1996</v>
      </c>
      <c r="C665" s="8" t="s">
        <v>1698</v>
      </c>
      <c r="D665" s="9" t="s">
        <v>1699</v>
      </c>
      <c r="E665" s="10" t="str">
        <f>HYPERLINK("https://twitter.com/jonathanmc_1996/status/1065561772294328320","1065561772294328320")</f>
        <v>1065561772294328320</v>
      </c>
      <c r="F665" s="12"/>
      <c r="G665" s="12"/>
      <c r="H665" s="12"/>
      <c r="I665" s="13">
        <v>2</v>
      </c>
      <c r="J665" s="13">
        <v>4</v>
      </c>
      <c r="K665" s="14" t="str">
        <f>HYPERLINK("http://twitter.com/download/android","Twitter for Android")</f>
        <v>Twitter for Android</v>
      </c>
      <c r="L665" s="13">
        <v>388</v>
      </c>
      <c r="M665" s="13">
        <v>992</v>
      </c>
      <c r="N665" s="13">
        <v>2</v>
      </c>
      <c r="O665" s="15"/>
      <c r="P665" s="6">
        <v>42263.890011574069</v>
      </c>
      <c r="Q665" s="16" t="s">
        <v>1702</v>
      </c>
      <c r="R665" s="17" t="s">
        <v>1703</v>
      </c>
      <c r="S665" s="11" t="s">
        <v>1704</v>
      </c>
      <c r="T665" s="12"/>
      <c r="U665" s="10" t="str">
        <f>HYPERLINK("https://pbs.twimg.com/profile_images/1015926180078346240/hzkad7HS.jpg","View")</f>
        <v>View</v>
      </c>
    </row>
    <row r="666" spans="1:21" ht="51">
      <c r="A666" s="6">
        <v>43426.502349537041</v>
      </c>
      <c r="B666" s="7" t="str">
        <f>HYPERLINK("https://twitter.com/SantanderCs","@SantanderCs")</f>
        <v>@SantanderCs</v>
      </c>
      <c r="C666" s="8" t="s">
        <v>1707</v>
      </c>
      <c r="D666" s="9" t="s">
        <v>1708</v>
      </c>
      <c r="E666" s="10" t="str">
        <f>HYPERLINK("https://twitter.com/SantanderCs/status/1065561376163332096","1065561376163332096")</f>
        <v>1065561376163332096</v>
      </c>
      <c r="F666" s="11" t="s">
        <v>1592</v>
      </c>
      <c r="G666" s="11" t="s">
        <v>1710</v>
      </c>
      <c r="H666" s="12"/>
      <c r="I666" s="13">
        <v>0</v>
      </c>
      <c r="J666" s="13">
        <v>0</v>
      </c>
      <c r="K666" s="14" t="str">
        <f>HYPERLINK("http://twitter.com","Twitter Web Client")</f>
        <v>Twitter Web Client</v>
      </c>
      <c r="L666" s="13">
        <v>823</v>
      </c>
      <c r="M666" s="13">
        <v>304</v>
      </c>
      <c r="N666" s="13">
        <v>14</v>
      </c>
      <c r="O666" s="15"/>
      <c r="P666" s="6">
        <v>42257.476724537039</v>
      </c>
      <c r="Q666" s="16" t="s">
        <v>1711</v>
      </c>
      <c r="R666" s="17" t="s">
        <v>1712</v>
      </c>
      <c r="S666" s="11" t="s">
        <v>1713</v>
      </c>
      <c r="T666" s="12"/>
      <c r="U666" s="10" t="str">
        <f>HYPERLINK("https://pbs.twimg.com/profile_images/899547645257150464/fsV--po7.jpg","View")</f>
        <v>View</v>
      </c>
    </row>
    <row r="667" spans="1:21" ht="51">
      <c r="A667" s="6">
        <v>43426.501388888893</v>
      </c>
      <c r="B667" s="7" t="str">
        <f t="shared" ref="B667:B668" si="133">HYPERLINK("https://twitter.com/bitMomentum","@bitMomentum")</f>
        <v>@bitMomentum</v>
      </c>
      <c r="C667" s="8" t="s">
        <v>706</v>
      </c>
      <c r="D667" s="9" t="s">
        <v>1714</v>
      </c>
      <c r="E667" s="10" t="str">
        <f>HYPERLINK("https://twitter.com/bitMomentum/status/1065561024970014722","1065561024970014722")</f>
        <v>1065561024970014722</v>
      </c>
      <c r="F667" s="12"/>
      <c r="G667" s="12"/>
      <c r="H667" s="12"/>
      <c r="I667" s="13">
        <v>0</v>
      </c>
      <c r="J667" s="13">
        <v>0</v>
      </c>
      <c r="K667" s="14" t="str">
        <f t="shared" ref="K667:K668" si="134">HYPERLINK("http://www.bitmomentum.com","bitMomentum Bot")</f>
        <v>bitMomentum Bot</v>
      </c>
      <c r="L667" s="13">
        <v>10132</v>
      </c>
      <c r="M667" s="13">
        <v>1060</v>
      </c>
      <c r="N667" s="13">
        <v>262</v>
      </c>
      <c r="O667" s="15"/>
      <c r="P667" s="6">
        <v>41608.667511574073</v>
      </c>
      <c r="Q667" s="12"/>
      <c r="R667" s="17" t="s">
        <v>708</v>
      </c>
      <c r="S667" s="11" t="s">
        <v>709</v>
      </c>
      <c r="T667" s="12"/>
      <c r="U667" s="10" t="str">
        <f t="shared" ref="U667:U668" si="135">HYPERLINK("https://pbs.twimg.com/profile_images/378800000862185241/20ij2H3u.png","View")</f>
        <v>View</v>
      </c>
    </row>
    <row r="668" spans="1:21" ht="40.799999999999997">
      <c r="A668" s="6">
        <v>43426.500694444447</v>
      </c>
      <c r="B668" s="7" t="str">
        <f t="shared" si="133"/>
        <v>@bitMomentum</v>
      </c>
      <c r="C668" s="8" t="s">
        <v>706</v>
      </c>
      <c r="D668" s="9" t="s">
        <v>1715</v>
      </c>
      <c r="E668" s="10" t="str">
        <f>HYPERLINK("https://twitter.com/bitMomentum/status/1065560773341130752","1065560773341130752")</f>
        <v>1065560773341130752</v>
      </c>
      <c r="F668" s="12"/>
      <c r="G668" s="12"/>
      <c r="H668" s="12"/>
      <c r="I668" s="13">
        <v>1</v>
      </c>
      <c r="J668" s="13">
        <v>0</v>
      </c>
      <c r="K668" s="14" t="str">
        <f t="shared" si="134"/>
        <v>bitMomentum Bot</v>
      </c>
      <c r="L668" s="13">
        <v>10132</v>
      </c>
      <c r="M668" s="13">
        <v>1060</v>
      </c>
      <c r="N668" s="13">
        <v>262</v>
      </c>
      <c r="O668" s="15"/>
      <c r="P668" s="6">
        <v>41608.667511574073</v>
      </c>
      <c r="Q668" s="12"/>
      <c r="R668" s="17" t="s">
        <v>708</v>
      </c>
      <c r="S668" s="11" t="s">
        <v>709</v>
      </c>
      <c r="T668" s="12"/>
      <c r="U668" s="10" t="str">
        <f t="shared" si="135"/>
        <v>View</v>
      </c>
    </row>
    <row r="669" spans="1:21" ht="30.6">
      <c r="A669" s="6">
        <v>43426.499675925923</v>
      </c>
      <c r="B669" s="7" t="str">
        <f>HYPERLINK("https://twitter.com/estibaverdader","@estibaverdader")</f>
        <v>@estibaverdader</v>
      </c>
      <c r="C669" s="8" t="s">
        <v>3758</v>
      </c>
      <c r="D669" s="9" t="s">
        <v>3759</v>
      </c>
      <c r="E669" s="10" t="str">
        <f>HYPERLINK("https://twitter.com/estibaverdader/status/1065560404263428102","1065560404263428102")</f>
        <v>1065560404263428102</v>
      </c>
      <c r="F669" s="12"/>
      <c r="G669" s="12"/>
      <c r="H669" s="12"/>
      <c r="I669" s="13">
        <v>0</v>
      </c>
      <c r="J669" s="13">
        <v>10</v>
      </c>
      <c r="K669" s="14" t="str">
        <f>HYPERLINK("http://twitter.com/download/android","Twitter for Android")</f>
        <v>Twitter for Android</v>
      </c>
      <c r="L669" s="13">
        <v>2838</v>
      </c>
      <c r="M669" s="13">
        <v>389</v>
      </c>
      <c r="N669" s="13">
        <v>26</v>
      </c>
      <c r="O669" s="15"/>
      <c r="P669" s="6">
        <v>42768.980150462958</v>
      </c>
      <c r="Q669" s="12"/>
      <c r="R669" s="17" t="s">
        <v>3760</v>
      </c>
      <c r="S669" s="12"/>
      <c r="T669" s="12"/>
      <c r="U669" s="10" t="str">
        <f>HYPERLINK("https://pbs.twimg.com/profile_images/827425445926805505/J5D0YpEy.jpg","View")</f>
        <v>View</v>
      </c>
    </row>
    <row r="670" spans="1:21" ht="40.799999999999997">
      <c r="A670" s="6">
        <v>43426.498148148152</v>
      </c>
      <c r="B670" s="7" t="str">
        <f>HYPERLINK("https://twitter.com/acamborio1","@acamborio1")</f>
        <v>@acamborio1</v>
      </c>
      <c r="C670" s="8" t="s">
        <v>1716</v>
      </c>
      <c r="D670" s="9" t="s">
        <v>1717</v>
      </c>
      <c r="E670" s="10" t="str">
        <f>HYPERLINK("https://twitter.com/acamborio1/status/1065559853903556608","1065559853903556608")</f>
        <v>1065559853903556608</v>
      </c>
      <c r="F670" s="12"/>
      <c r="G670" s="11" t="s">
        <v>1718</v>
      </c>
      <c r="H670" s="12"/>
      <c r="I670" s="13">
        <v>0</v>
      </c>
      <c r="J670" s="13">
        <v>0</v>
      </c>
      <c r="K670" s="14" t="str">
        <f>HYPERLINK("http://twitter.com","Twitter Web Client")</f>
        <v>Twitter Web Client</v>
      </c>
      <c r="L670" s="13">
        <v>22</v>
      </c>
      <c r="M670" s="13">
        <v>94</v>
      </c>
      <c r="N670" s="13">
        <v>1</v>
      </c>
      <c r="O670" s="15"/>
      <c r="P670" s="6">
        <v>42139.70789351852</v>
      </c>
      <c r="Q670" s="12"/>
      <c r="R670" s="19"/>
      <c r="S670" s="12"/>
      <c r="T670" s="12"/>
      <c r="U670" s="18" t="s">
        <v>559</v>
      </c>
    </row>
    <row r="671" spans="1:21" ht="40.799999999999997">
      <c r="A671" s="6">
        <v>43426.497442129628</v>
      </c>
      <c r="B671" s="7" t="str">
        <f>HYPERLINK("https://twitter.com/lolacarro","@lolacarro")</f>
        <v>@lolacarro</v>
      </c>
      <c r="C671" s="8" t="s">
        <v>3767</v>
      </c>
      <c r="D671" s="9" t="s">
        <v>3768</v>
      </c>
      <c r="E671" s="10" t="str">
        <f>HYPERLINK("https://twitter.com/lolacarro/status/1065559595324719104","1065559595324719104")</f>
        <v>1065559595324719104</v>
      </c>
      <c r="F671" s="12"/>
      <c r="G671" s="12"/>
      <c r="H671" s="12"/>
      <c r="I671" s="13">
        <v>0</v>
      </c>
      <c r="J671" s="13">
        <v>1</v>
      </c>
      <c r="K671" s="14" t="str">
        <f>HYPERLINK("http://twitter.com/download/iphone","Twitter for iPhone")</f>
        <v>Twitter for iPhone</v>
      </c>
      <c r="L671" s="13">
        <v>3</v>
      </c>
      <c r="M671" s="13">
        <v>84</v>
      </c>
      <c r="N671" s="13">
        <v>1</v>
      </c>
      <c r="O671" s="15"/>
      <c r="P671" s="6">
        <v>40683.159305555557</v>
      </c>
      <c r="Q671" s="12"/>
      <c r="R671" s="19"/>
      <c r="S671" s="12"/>
      <c r="T671" s="12"/>
      <c r="U671" s="18" t="s">
        <v>559</v>
      </c>
    </row>
    <row r="672" spans="1:21" ht="51">
      <c r="A672" s="6">
        <v>43426.497349537036</v>
      </c>
      <c r="B672" s="7" t="str">
        <f>HYPERLINK("https://twitter.com/Miguel_H_C","@Miguel_H_C")</f>
        <v>@Miguel_H_C</v>
      </c>
      <c r="C672" s="8" t="s">
        <v>347</v>
      </c>
      <c r="D672" s="9" t="s">
        <v>1721</v>
      </c>
      <c r="E672" s="10" t="str">
        <f>HYPERLINK("https://twitter.com/Miguel_H_C/status/1065559562714050560","1065559562714050560")</f>
        <v>1065559562714050560</v>
      </c>
      <c r="F672" s="12"/>
      <c r="G672" s="12"/>
      <c r="H672" s="12"/>
      <c r="I672" s="13">
        <v>0</v>
      </c>
      <c r="J672" s="13">
        <v>0</v>
      </c>
      <c r="K672" s="14" t="str">
        <f>HYPERLINK("http://twitter.com","Twitter Web Client")</f>
        <v>Twitter Web Client</v>
      </c>
      <c r="L672" s="13">
        <v>826</v>
      </c>
      <c r="M672" s="13">
        <v>349</v>
      </c>
      <c r="N672" s="13">
        <v>8</v>
      </c>
      <c r="O672" s="15"/>
      <c r="P672" s="6">
        <v>40816.839016203703</v>
      </c>
      <c r="Q672" s="16" t="s">
        <v>351</v>
      </c>
      <c r="R672" s="19"/>
      <c r="S672" s="12"/>
      <c r="T672" s="12"/>
      <c r="U672" s="10" t="str">
        <f>HYPERLINK("https://pbs.twimg.com/profile_images/997011182736302081/6PYtWK2Y.jpg","View")</f>
        <v>View</v>
      </c>
    </row>
    <row r="673" spans="1:21" ht="13.2">
      <c r="A673" s="6">
        <v>43426.497083333335</v>
      </c>
      <c r="B673" s="7" t="str">
        <f>HYPERLINK("https://twitter.com/FSLCansino","@FSLCansino")</f>
        <v>@FSLCansino</v>
      </c>
      <c r="C673" s="8" t="s">
        <v>3772</v>
      </c>
      <c r="D673" s="9" t="s">
        <v>3773</v>
      </c>
      <c r="E673" s="10" t="str">
        <f>HYPERLINK("https://twitter.com/FSLCansino/status/1065559465439711232","1065559465439711232")</f>
        <v>1065559465439711232</v>
      </c>
      <c r="F673" s="12"/>
      <c r="G673" s="12"/>
      <c r="H673" s="12"/>
      <c r="I673" s="13">
        <v>0</v>
      </c>
      <c r="J673" s="13">
        <v>0</v>
      </c>
      <c r="K673" s="14" t="str">
        <f t="shared" ref="K673:K675" si="136">HYPERLINK("http://twitter.com/download/android","Twitter for Android")</f>
        <v>Twitter for Android</v>
      </c>
      <c r="L673" s="13">
        <v>437</v>
      </c>
      <c r="M673" s="13">
        <v>630</v>
      </c>
      <c r="N673" s="13">
        <v>1</v>
      </c>
      <c r="O673" s="15"/>
      <c r="P673" s="6">
        <v>40927.923206018517</v>
      </c>
      <c r="Q673" s="12"/>
      <c r="R673" s="19"/>
      <c r="S673" s="12"/>
      <c r="T673" s="12"/>
      <c r="U673" s="10" t="str">
        <f>HYPERLINK("https://pbs.twimg.com/profile_images/790174456870240257/rPoAlptY.jpg","View")</f>
        <v>View</v>
      </c>
    </row>
    <row r="674" spans="1:21" ht="40.799999999999997">
      <c r="A674" s="6">
        <v>43426.496990740736</v>
      </c>
      <c r="B674" s="7" t="str">
        <f>HYPERLINK("https://twitter.com/PCubatas","@PCubatas")</f>
        <v>@PCubatas</v>
      </c>
      <c r="C674" s="8" t="s">
        <v>1726</v>
      </c>
      <c r="D674" s="9" t="s">
        <v>1727</v>
      </c>
      <c r="E674" s="10" t="str">
        <f>HYPERLINK("https://twitter.com/PCubatas/status/1065559434095669248","1065559434095669248")</f>
        <v>1065559434095669248</v>
      </c>
      <c r="F674" s="12"/>
      <c r="G674" s="12"/>
      <c r="H674" s="12"/>
      <c r="I674" s="13">
        <v>1</v>
      </c>
      <c r="J674" s="13">
        <v>2</v>
      </c>
      <c r="K674" s="14" t="str">
        <f t="shared" si="136"/>
        <v>Twitter for Android</v>
      </c>
      <c r="L674" s="13">
        <v>18</v>
      </c>
      <c r="M674" s="13">
        <v>107</v>
      </c>
      <c r="N674" s="13">
        <v>0</v>
      </c>
      <c r="O674" s="15"/>
      <c r="P674" s="6">
        <v>43397.558564814812</v>
      </c>
      <c r="Q674" s="12"/>
      <c r="R674" s="19"/>
      <c r="S674" s="12"/>
      <c r="T674" s="12"/>
      <c r="U674" s="10" t="str">
        <f>HYPERLINK("https://pbs.twimg.com/profile_images/1055058179741102081/UeCpaiYs.jpg","View")</f>
        <v>View</v>
      </c>
    </row>
    <row r="675" spans="1:21" ht="30.6">
      <c r="A675" s="6">
        <v>43426.496851851851</v>
      </c>
      <c r="B675" s="7" t="str">
        <f>HYPERLINK("https://twitter.com/FonROsle","@FonROsle")</f>
        <v>@FonROsle</v>
      </c>
      <c r="C675" s="8" t="s">
        <v>1736</v>
      </c>
      <c r="D675" s="9" t="s">
        <v>1737</v>
      </c>
      <c r="E675" s="10" t="str">
        <f>HYPERLINK("https://twitter.com/FonROsle/status/1065559380907696128","1065559380907696128")</f>
        <v>1065559380907696128</v>
      </c>
      <c r="F675" s="12"/>
      <c r="G675" s="12"/>
      <c r="H675" s="12"/>
      <c r="I675" s="13">
        <v>1</v>
      </c>
      <c r="J675" s="13">
        <v>1</v>
      </c>
      <c r="K675" s="14" t="str">
        <f t="shared" si="136"/>
        <v>Twitter for Android</v>
      </c>
      <c r="L675" s="13">
        <v>63</v>
      </c>
      <c r="M675" s="13">
        <v>262</v>
      </c>
      <c r="N675" s="13">
        <v>1</v>
      </c>
      <c r="O675" s="15"/>
      <c r="P675" s="6">
        <v>40498.712430555555</v>
      </c>
      <c r="Q675" s="12"/>
      <c r="R675" s="17" t="s">
        <v>1742</v>
      </c>
      <c r="S675" s="12"/>
      <c r="T675" s="12"/>
      <c r="U675" s="10" t="str">
        <f>HYPERLINK("https://pbs.twimg.com/profile_images/1760213014/IxlyPMWN","View")</f>
        <v>View</v>
      </c>
    </row>
    <row r="676" spans="1:21" ht="40.799999999999997">
      <c r="A676" s="6">
        <v>43426.49627314815</v>
      </c>
      <c r="B676" s="7" t="str">
        <f>HYPERLINK("https://twitter.com/fermont1965","@fermont1965")</f>
        <v>@fermont1965</v>
      </c>
      <c r="C676" s="8" t="s">
        <v>3781</v>
      </c>
      <c r="D676" s="9" t="s">
        <v>3782</v>
      </c>
      <c r="E676" s="10" t="str">
        <f>HYPERLINK("https://twitter.com/fermont1965/status/1065559173516181508","1065559173516181508")</f>
        <v>1065559173516181508</v>
      </c>
      <c r="F676" s="12"/>
      <c r="G676" s="12"/>
      <c r="H676" s="12"/>
      <c r="I676" s="13">
        <v>27</v>
      </c>
      <c r="J676" s="13">
        <v>45</v>
      </c>
      <c r="K676" s="14" t="str">
        <f t="shared" ref="K676:K680" si="137">HYPERLINK("http://twitter.com","Twitter Web Client")</f>
        <v>Twitter Web Client</v>
      </c>
      <c r="L676" s="13">
        <v>35300</v>
      </c>
      <c r="M676" s="13">
        <v>9087</v>
      </c>
      <c r="N676" s="13">
        <v>301</v>
      </c>
      <c r="O676" s="15"/>
      <c r="P676" s="6">
        <v>40608.760115740741</v>
      </c>
      <c r="Q676" s="16" t="s">
        <v>3785</v>
      </c>
      <c r="R676" s="17" t="s">
        <v>3786</v>
      </c>
      <c r="S676" s="12"/>
      <c r="T676" s="12"/>
      <c r="U676" s="10" t="str">
        <f>HYPERLINK("https://pbs.twimg.com/profile_images/617818600326438912/_o-dirdy.jpg","View")</f>
        <v>View</v>
      </c>
    </row>
    <row r="677" spans="1:21" ht="40.799999999999997">
      <c r="A677" s="6">
        <v>43426.495775462958</v>
      </c>
      <c r="B677" s="7" t="str">
        <f>HYPERLINK("https://twitter.com/hermanntertsch","@hermanntertsch")</f>
        <v>@hermanntertsch</v>
      </c>
      <c r="C677" s="8" t="s">
        <v>3789</v>
      </c>
      <c r="D677" s="9" t="s">
        <v>3790</v>
      </c>
      <c r="E677" s="10" t="str">
        <f>HYPERLINK("https://twitter.com/hermanntertsch/status/1065558990527111168","1065558990527111168")</f>
        <v>1065558990527111168</v>
      </c>
      <c r="F677" s="12"/>
      <c r="G677" s="12"/>
      <c r="H677" s="12"/>
      <c r="I677" s="13">
        <v>67</v>
      </c>
      <c r="J677" s="13">
        <v>194</v>
      </c>
      <c r="K677" s="14" t="str">
        <f t="shared" si="137"/>
        <v>Twitter Web Client</v>
      </c>
      <c r="L677" s="13">
        <v>126740</v>
      </c>
      <c r="M677" s="13">
        <v>3124</v>
      </c>
      <c r="N677" s="13">
        <v>2135</v>
      </c>
      <c r="O677" s="15"/>
      <c r="P677" s="6">
        <v>40599.27952546296</v>
      </c>
      <c r="Q677" s="12"/>
      <c r="R677" s="17" t="s">
        <v>3792</v>
      </c>
      <c r="S677" s="12"/>
      <c r="T677" s="12"/>
      <c r="U677" s="10" t="str">
        <f>HYPERLINK("https://pbs.twimg.com/profile_images/857488336243576833/VZ0sdsQO.jpg","View")</f>
        <v>View</v>
      </c>
    </row>
    <row r="678" spans="1:21" ht="30.6">
      <c r="A678" s="6">
        <v>43426.495648148149</v>
      </c>
      <c r="B678" s="7" t="str">
        <f>HYPERLINK("https://twitter.com/SeixoDani","@SeixoDani")</f>
        <v>@SeixoDani</v>
      </c>
      <c r="C678" s="8" t="s">
        <v>1745</v>
      </c>
      <c r="D678" s="9" t="s">
        <v>1746</v>
      </c>
      <c r="E678" s="10" t="str">
        <f>HYPERLINK("https://twitter.com/SeixoDani/status/1065558946335866880","1065558946335866880")</f>
        <v>1065558946335866880</v>
      </c>
      <c r="F678" s="12"/>
      <c r="G678" s="12"/>
      <c r="H678" s="12"/>
      <c r="I678" s="13">
        <v>3</v>
      </c>
      <c r="J678" s="13">
        <v>3</v>
      </c>
      <c r="K678" s="14" t="str">
        <f t="shared" si="137"/>
        <v>Twitter Web Client</v>
      </c>
      <c r="L678" s="13">
        <v>3455</v>
      </c>
      <c r="M678" s="13">
        <v>4897</v>
      </c>
      <c r="N678" s="13">
        <v>90</v>
      </c>
      <c r="O678" s="15"/>
      <c r="P678" s="6">
        <v>40696.855532407411</v>
      </c>
      <c r="Q678" s="16" t="s">
        <v>1749</v>
      </c>
      <c r="R678" s="17" t="s">
        <v>1750</v>
      </c>
      <c r="S678" s="11" t="s">
        <v>1751</v>
      </c>
      <c r="T678" s="12"/>
      <c r="U678" s="10" t="str">
        <f>HYPERLINK("https://pbs.twimg.com/profile_images/1043878885832757249/Zu1wP5_Y.jpg","View")</f>
        <v>View</v>
      </c>
    </row>
    <row r="679" spans="1:21" ht="20.399999999999999">
      <c r="A679" s="6">
        <v>43426.495497685188</v>
      </c>
      <c r="B679" s="7" t="str">
        <f>HYPERLINK("https://twitter.com/Miguel_H_C","@Miguel_H_C")</f>
        <v>@Miguel_H_C</v>
      </c>
      <c r="C679" s="8" t="s">
        <v>347</v>
      </c>
      <c r="D679" s="9" t="s">
        <v>1754</v>
      </c>
      <c r="E679" s="10" t="str">
        <f>HYPERLINK("https://twitter.com/Miguel_H_C/status/1065558890987835392","1065558890987835392")</f>
        <v>1065558890987835392</v>
      </c>
      <c r="F679" s="12"/>
      <c r="G679" s="11" t="s">
        <v>1756</v>
      </c>
      <c r="H679" s="12"/>
      <c r="I679" s="13">
        <v>1</v>
      </c>
      <c r="J679" s="13">
        <v>2</v>
      </c>
      <c r="K679" s="14" t="str">
        <f t="shared" si="137"/>
        <v>Twitter Web Client</v>
      </c>
      <c r="L679" s="13">
        <v>826</v>
      </c>
      <c r="M679" s="13">
        <v>349</v>
      </c>
      <c r="N679" s="13">
        <v>8</v>
      </c>
      <c r="O679" s="15"/>
      <c r="P679" s="6">
        <v>40816.839016203703</v>
      </c>
      <c r="Q679" s="16" t="s">
        <v>351</v>
      </c>
      <c r="R679" s="19"/>
      <c r="S679" s="12"/>
      <c r="T679" s="12"/>
      <c r="U679" s="10" t="str">
        <f>HYPERLINK("https://pbs.twimg.com/profile_images/997011182736302081/6PYtWK2Y.jpg","View")</f>
        <v>View</v>
      </c>
    </row>
    <row r="680" spans="1:21" ht="40.799999999999997">
      <c r="A680" s="6">
        <v>43426.494525462964</v>
      </c>
      <c r="B680" s="7" t="str">
        <f>HYPERLINK("https://twitter.com/diazj353","@diazj353")</f>
        <v>@diazj353</v>
      </c>
      <c r="C680" s="8" t="s">
        <v>1760</v>
      </c>
      <c r="D680" s="9" t="s">
        <v>1761</v>
      </c>
      <c r="E680" s="10" t="str">
        <f>HYPERLINK("https://twitter.com/diazj353/status/1065558539828117504","1065558539828117504")</f>
        <v>1065558539828117504</v>
      </c>
      <c r="F680" s="12"/>
      <c r="G680" s="12"/>
      <c r="H680" s="12"/>
      <c r="I680" s="13">
        <v>1</v>
      </c>
      <c r="J680" s="13">
        <v>1</v>
      </c>
      <c r="K680" s="14" t="str">
        <f t="shared" si="137"/>
        <v>Twitter Web Client</v>
      </c>
      <c r="L680" s="13">
        <v>644</v>
      </c>
      <c r="M680" s="13">
        <v>1325</v>
      </c>
      <c r="N680" s="13">
        <v>5</v>
      </c>
      <c r="O680" s="15"/>
      <c r="P680" s="6">
        <v>41173.655694444446</v>
      </c>
      <c r="Q680" s="16" t="s">
        <v>1762</v>
      </c>
      <c r="R680" s="17" t="s">
        <v>1763</v>
      </c>
      <c r="S680" s="11" t="s">
        <v>1764</v>
      </c>
      <c r="T680" s="12"/>
      <c r="U680" s="10" t="str">
        <f>HYPERLINK("https://pbs.twimg.com/profile_images/681445263014293504/lN1lcXVn.jpg","View")</f>
        <v>View</v>
      </c>
    </row>
    <row r="681" spans="1:21" ht="51">
      <c r="A681" s="6">
        <v>43426.494224537033</v>
      </c>
      <c r="B681" s="7" t="str">
        <f>HYPERLINK("https://twitter.com/rosamaria18btr","@rosamaria18btr")</f>
        <v>@rosamaria18btr</v>
      </c>
      <c r="C681" s="8" t="s">
        <v>1765</v>
      </c>
      <c r="D681" s="9" t="s">
        <v>1766</v>
      </c>
      <c r="E681" s="10" t="str">
        <f>HYPERLINK("https://twitter.com/rosamaria18btr/status/1065558429639614465","1065558429639614465")</f>
        <v>1065558429639614465</v>
      </c>
      <c r="F681" s="12"/>
      <c r="G681" s="12"/>
      <c r="H681" s="12"/>
      <c r="I681" s="13">
        <v>0</v>
      </c>
      <c r="J681" s="13">
        <v>0</v>
      </c>
      <c r="K681" s="14" t="str">
        <f>HYPERLINK("http://twitter.com/download/android","Twitter for Android")</f>
        <v>Twitter for Android</v>
      </c>
      <c r="L681" s="13">
        <v>1986</v>
      </c>
      <c r="M681" s="13">
        <v>2004</v>
      </c>
      <c r="N681" s="13">
        <v>15</v>
      </c>
      <c r="O681" s="15"/>
      <c r="P681" s="6">
        <v>41434.706724537034</v>
      </c>
      <c r="Q681" s="16" t="s">
        <v>1231</v>
      </c>
      <c r="R681" s="19"/>
      <c r="S681" s="12"/>
      <c r="T681" s="12"/>
      <c r="U681" s="10" t="str">
        <f>HYPERLINK("https://pbs.twimg.com/profile_images/972005691081637889/LtWxCVTY.jpg","View")</f>
        <v>View</v>
      </c>
    </row>
    <row r="682" spans="1:21" ht="51">
      <c r="A682" s="6">
        <v>43426.493935185186</v>
      </c>
      <c r="B682" s="7" t="str">
        <f>HYPERLINK("https://twitter.com/RisasMuchas","@RisasMuchas")</f>
        <v>@RisasMuchas</v>
      </c>
      <c r="C682" s="8" t="s">
        <v>3805</v>
      </c>
      <c r="D682" s="9" t="s">
        <v>3806</v>
      </c>
      <c r="E682" s="10" t="str">
        <f>HYPERLINK("https://twitter.com/RisasMuchas/status/1065558326250037248","1065558326250037248")</f>
        <v>1065558326250037248</v>
      </c>
      <c r="F682" s="12"/>
      <c r="G682" s="12"/>
      <c r="H682" s="12"/>
      <c r="I682" s="13">
        <v>0</v>
      </c>
      <c r="J682" s="13">
        <v>3</v>
      </c>
      <c r="K682" s="14" t="str">
        <f>HYPERLINK("http://twitter.com/#!/download/ipad","Twitter for iPad")</f>
        <v>Twitter for iPad</v>
      </c>
      <c r="L682" s="13">
        <v>30</v>
      </c>
      <c r="M682" s="13">
        <v>292</v>
      </c>
      <c r="N682" s="13">
        <v>0</v>
      </c>
      <c r="O682" s="15"/>
      <c r="P682" s="6">
        <v>43252.473912037036</v>
      </c>
      <c r="Q682" s="12"/>
      <c r="R682" s="17" t="s">
        <v>3810</v>
      </c>
      <c r="S682" s="12"/>
      <c r="T682" s="12"/>
      <c r="U682" s="10" t="str">
        <f>HYPERLINK("https://pbs.twimg.com/profile_images/1002482750136487937/Peg7HrDO.jpg","View")</f>
        <v>View</v>
      </c>
    </row>
    <row r="683" spans="1:21" ht="40.799999999999997">
      <c r="A683" s="6">
        <v>43426.493738425925</v>
      </c>
      <c r="B683" s="7" t="str">
        <f>HYPERLINK("https://twitter.com/josue_coello","@josue_coello")</f>
        <v>@josue_coello</v>
      </c>
      <c r="C683" s="8" t="s">
        <v>3813</v>
      </c>
      <c r="D683" s="9" t="s">
        <v>3814</v>
      </c>
      <c r="E683" s="10" t="str">
        <f>HYPERLINK("https://twitter.com/josue_coello/status/1065558255185915904","1065558255185915904")</f>
        <v>1065558255185915904</v>
      </c>
      <c r="F683" s="12"/>
      <c r="G683" s="11" t="s">
        <v>3815</v>
      </c>
      <c r="H683" s="12"/>
      <c r="I683" s="13">
        <v>2</v>
      </c>
      <c r="J683" s="13">
        <v>5</v>
      </c>
      <c r="K683" s="14" t="str">
        <f>HYPERLINK("http://twitter.com/download/iphone","Twitter for iPhone")</f>
        <v>Twitter for iPhone</v>
      </c>
      <c r="L683" s="13">
        <v>1355</v>
      </c>
      <c r="M683" s="13">
        <v>1124</v>
      </c>
      <c r="N683" s="13">
        <v>29</v>
      </c>
      <c r="O683" s="15"/>
      <c r="P683" s="6">
        <v>40715.73274305556</v>
      </c>
      <c r="Q683" s="16" t="s">
        <v>3818</v>
      </c>
      <c r="R683" s="17" t="s">
        <v>3819</v>
      </c>
      <c r="S683" s="11" t="s">
        <v>3820</v>
      </c>
      <c r="T683" s="12"/>
      <c r="U683" s="10" t="str">
        <f>HYPERLINK("https://pbs.twimg.com/profile_images/1050438300446658561/81lO5baj.jpg","View")</f>
        <v>View</v>
      </c>
    </row>
    <row r="684" spans="1:21" ht="20.399999999999999">
      <c r="A684" s="6">
        <v>43426.493506944447</v>
      </c>
      <c r="B684" s="7" t="str">
        <f>HYPERLINK("https://twitter.com/carmonadecastr1","@carmonadecastr1")</f>
        <v>@carmonadecastr1</v>
      </c>
      <c r="C684" s="8" t="s">
        <v>3823</v>
      </c>
      <c r="D684" s="9" t="s">
        <v>3825</v>
      </c>
      <c r="E684" s="10" t="str">
        <f>HYPERLINK("https://twitter.com/carmonadecastr1/status/1065558171945771008","1065558171945771008")</f>
        <v>1065558171945771008</v>
      </c>
      <c r="F684" s="12"/>
      <c r="G684" s="12"/>
      <c r="H684" s="12"/>
      <c r="I684" s="13">
        <v>0</v>
      </c>
      <c r="J684" s="13">
        <v>3</v>
      </c>
      <c r="K684" s="14" t="str">
        <f t="shared" ref="K684:K686" si="138">HYPERLINK("http://twitter.com/download/android","Twitter for Android")</f>
        <v>Twitter for Android</v>
      </c>
      <c r="L684" s="13">
        <v>291</v>
      </c>
      <c r="M684" s="13">
        <v>419</v>
      </c>
      <c r="N684" s="13">
        <v>4</v>
      </c>
      <c r="O684" s="15"/>
      <c r="P684" s="6">
        <v>41970.726342592592</v>
      </c>
      <c r="Q684" s="12"/>
      <c r="R684" s="19"/>
      <c r="S684" s="12"/>
      <c r="T684" s="12"/>
      <c r="U684" s="10" t="str">
        <f>HYPERLINK("https://pbs.twimg.com/profile_images/1039803963040784384/Vdmgx4Rs.jpg","View")</f>
        <v>View</v>
      </c>
    </row>
    <row r="685" spans="1:21" ht="40.799999999999997">
      <c r="A685" s="6">
        <v>43426.49291666667</v>
      </c>
      <c r="B685" s="7" t="str">
        <f>HYPERLINK("https://twitter.com/covarcheta","@covarcheta")</f>
        <v>@covarcheta</v>
      </c>
      <c r="C685" s="8" t="s">
        <v>3827</v>
      </c>
      <c r="D685" s="9" t="s">
        <v>3828</v>
      </c>
      <c r="E685" s="10" t="str">
        <f>HYPERLINK("https://twitter.com/covarcheta/status/1065557955268042754","1065557955268042754")</f>
        <v>1065557955268042754</v>
      </c>
      <c r="F685" s="12"/>
      <c r="G685" s="12"/>
      <c r="H685" s="12"/>
      <c r="I685" s="13">
        <v>4</v>
      </c>
      <c r="J685" s="13">
        <v>5</v>
      </c>
      <c r="K685" s="14" t="str">
        <f t="shared" si="138"/>
        <v>Twitter for Android</v>
      </c>
      <c r="L685" s="13">
        <v>440</v>
      </c>
      <c r="M685" s="13">
        <v>503</v>
      </c>
      <c r="N685" s="13">
        <v>5</v>
      </c>
      <c r="O685" s="15"/>
      <c r="P685" s="6">
        <v>41156.683993055558</v>
      </c>
      <c r="Q685" s="16" t="s">
        <v>3829</v>
      </c>
      <c r="R685" s="17" t="s">
        <v>3830</v>
      </c>
      <c r="S685" s="11" t="s">
        <v>3831</v>
      </c>
      <c r="T685" s="12"/>
      <c r="U685" s="10" t="str">
        <f>HYPERLINK("https://pbs.twimg.com/profile_images/819866620264935424/nqiy_ma2.jpg","View")</f>
        <v>View</v>
      </c>
    </row>
    <row r="686" spans="1:21" ht="30.6">
      <c r="A686" s="6">
        <v>43426.492314814815</v>
      </c>
      <c r="B686" s="7" t="str">
        <f>HYPERLINK("https://twitter.com/carmonadecastr1","@carmonadecastr1")</f>
        <v>@carmonadecastr1</v>
      </c>
      <c r="C686" s="8" t="s">
        <v>3823</v>
      </c>
      <c r="D686" s="9" t="s">
        <v>3834</v>
      </c>
      <c r="E686" s="10" t="str">
        <f>HYPERLINK("https://twitter.com/carmonadecastr1/status/1065557738871275520","1065557738871275520")</f>
        <v>1065557738871275520</v>
      </c>
      <c r="F686" s="12"/>
      <c r="G686" s="12"/>
      <c r="H686" s="12"/>
      <c r="I686" s="13">
        <v>2</v>
      </c>
      <c r="J686" s="13">
        <v>3</v>
      </c>
      <c r="K686" s="14" t="str">
        <f t="shared" si="138"/>
        <v>Twitter for Android</v>
      </c>
      <c r="L686" s="13">
        <v>291</v>
      </c>
      <c r="M686" s="13">
        <v>419</v>
      </c>
      <c r="N686" s="13">
        <v>4</v>
      </c>
      <c r="O686" s="15"/>
      <c r="P686" s="6">
        <v>41970.726342592592</v>
      </c>
      <c r="Q686" s="12"/>
      <c r="R686" s="19"/>
      <c r="S686" s="12"/>
      <c r="T686" s="12"/>
      <c r="U686" s="10" t="str">
        <f>HYPERLINK("https://pbs.twimg.com/profile_images/1039803963040784384/Vdmgx4Rs.jpg","View")</f>
        <v>View</v>
      </c>
    </row>
    <row r="687" spans="1:21" ht="20.399999999999999">
      <c r="A687" s="6">
        <v>43426.4918287037</v>
      </c>
      <c r="B687" s="7" t="str">
        <f>HYPERLINK("https://twitter.com/hermanntertsch","@hermanntertsch")</f>
        <v>@hermanntertsch</v>
      </c>
      <c r="C687" s="8" t="s">
        <v>3789</v>
      </c>
      <c r="D687" s="9" t="s">
        <v>3838</v>
      </c>
      <c r="E687" s="10" t="str">
        <f>HYPERLINK("https://twitter.com/hermanntertsch/status/1065557562198761472","1065557562198761472")</f>
        <v>1065557562198761472</v>
      </c>
      <c r="F687" s="12"/>
      <c r="G687" s="12"/>
      <c r="H687" s="12"/>
      <c r="I687" s="13">
        <v>20</v>
      </c>
      <c r="J687" s="13">
        <v>36</v>
      </c>
      <c r="K687" s="14" t="str">
        <f>HYPERLINK("http://twitter.com","Twitter Web Client")</f>
        <v>Twitter Web Client</v>
      </c>
      <c r="L687" s="13">
        <v>126740</v>
      </c>
      <c r="M687" s="13">
        <v>3124</v>
      </c>
      <c r="N687" s="13">
        <v>2135</v>
      </c>
      <c r="O687" s="15"/>
      <c r="P687" s="6">
        <v>40599.27952546296</v>
      </c>
      <c r="Q687" s="12"/>
      <c r="R687" s="17" t="s">
        <v>3792</v>
      </c>
      <c r="S687" s="12"/>
      <c r="T687" s="12"/>
      <c r="U687" s="10" t="str">
        <f>HYPERLINK("https://pbs.twimg.com/profile_images/857488336243576833/VZ0sdsQO.jpg","View")</f>
        <v>View</v>
      </c>
    </row>
    <row r="688" spans="1:21" ht="30.6">
      <c r="A688" s="6">
        <v>43426.491365740745</v>
      </c>
      <c r="B688" s="7" t="str">
        <f>HYPERLINK("https://twitter.com/Franciscoalbac3","@Franciscoalbac3")</f>
        <v>@Franciscoalbac3</v>
      </c>
      <c r="C688" s="8" t="s">
        <v>1767</v>
      </c>
      <c r="D688" s="9" t="s">
        <v>1768</v>
      </c>
      <c r="E688" s="10" t="str">
        <f>HYPERLINK("https://twitter.com/Franciscoalbac3/status/1065557392425975808","1065557392425975808")</f>
        <v>1065557392425975808</v>
      </c>
      <c r="F688" s="12"/>
      <c r="G688" s="12"/>
      <c r="H688" s="12"/>
      <c r="I688" s="13">
        <v>0</v>
      </c>
      <c r="J688" s="13">
        <v>0</v>
      </c>
      <c r="K688" s="14" t="str">
        <f>HYPERLINK("http://twitter.com/download/android","Twitter for Android")</f>
        <v>Twitter for Android</v>
      </c>
      <c r="L688" s="13">
        <v>372</v>
      </c>
      <c r="M688" s="13">
        <v>942</v>
      </c>
      <c r="N688" s="13">
        <v>0</v>
      </c>
      <c r="O688" s="15"/>
      <c r="P688" s="6">
        <v>43374.81045138889</v>
      </c>
      <c r="Q688" s="16" t="s">
        <v>366</v>
      </c>
      <c r="R688" s="17" t="s">
        <v>1769</v>
      </c>
      <c r="S688" s="12"/>
      <c r="T688" s="12"/>
      <c r="U688" s="10" t="str">
        <f>HYPERLINK("https://pbs.twimg.com/profile_images/1046818958786088961/vDXcbRmG.jpg","View")</f>
        <v>View</v>
      </c>
    </row>
    <row r="689" spans="1:21" ht="20.399999999999999">
      <c r="A689" s="6">
        <v>43426.490972222222</v>
      </c>
      <c r="B689" s="7" t="str">
        <f>HYPERLINK("https://twitter.com/doriveramirez","@doriveramirez")</f>
        <v>@doriveramirez</v>
      </c>
      <c r="C689" s="8" t="s">
        <v>2509</v>
      </c>
      <c r="D689" s="9" t="s">
        <v>3845</v>
      </c>
      <c r="E689" s="10" t="str">
        <f>HYPERLINK("https://twitter.com/doriveramirez/status/1065557253011456000","1065557253011456000")</f>
        <v>1065557253011456000</v>
      </c>
      <c r="F689" s="12"/>
      <c r="G689" s="12"/>
      <c r="H689" s="12"/>
      <c r="I689" s="13">
        <v>0</v>
      </c>
      <c r="J689" s="13">
        <v>0</v>
      </c>
      <c r="K689" s="14" t="str">
        <f>HYPERLINK("http://twitter.com","Twitter Web Client")</f>
        <v>Twitter Web Client</v>
      </c>
      <c r="L689" s="13">
        <v>119</v>
      </c>
      <c r="M689" s="13">
        <v>238</v>
      </c>
      <c r="N689" s="13">
        <v>3</v>
      </c>
      <c r="O689" s="15"/>
      <c r="P689" s="6">
        <v>40969.5625</v>
      </c>
      <c r="Q689" s="16" t="s">
        <v>3846</v>
      </c>
      <c r="R689" s="19"/>
      <c r="S689" s="11" t="s">
        <v>3847</v>
      </c>
      <c r="T689" s="12"/>
      <c r="U689" s="10" t="str">
        <f>HYPERLINK("https://pbs.twimg.com/profile_images/1024986948673437697/_xPKcepo.jpg","View")</f>
        <v>View</v>
      </c>
    </row>
    <row r="690" spans="1:21" ht="20.399999999999999">
      <c r="A690" s="6">
        <v>43426.489976851852</v>
      </c>
      <c r="B690" s="7" t="str">
        <f>HYPERLINK("https://twitter.com/ramonpares","@ramonpares")</f>
        <v>@ramonpares</v>
      </c>
      <c r="C690" s="8" t="s">
        <v>3850</v>
      </c>
      <c r="D690" s="9" t="s">
        <v>1509</v>
      </c>
      <c r="E690" s="10" t="str">
        <f>HYPERLINK("https://twitter.com/ramonpares/status/1065556891374403584","1065556891374403584")</f>
        <v>1065556891374403584</v>
      </c>
      <c r="F690" s="11" t="s">
        <v>1510</v>
      </c>
      <c r="G690" s="12"/>
      <c r="H690" s="12"/>
      <c r="I690" s="13">
        <v>0</v>
      </c>
      <c r="J690" s="13">
        <v>0</v>
      </c>
      <c r="K690" s="14" t="str">
        <f>HYPERLINK("http://www.facebook.com/twitter","Facebook")</f>
        <v>Facebook</v>
      </c>
      <c r="L690" s="13">
        <v>333</v>
      </c>
      <c r="M690" s="13">
        <v>1018</v>
      </c>
      <c r="N690" s="13">
        <v>5</v>
      </c>
      <c r="O690" s="15"/>
      <c r="P690" s="6">
        <v>40445.015636574077</v>
      </c>
      <c r="Q690" s="16" t="s">
        <v>3853</v>
      </c>
      <c r="R690" s="19"/>
      <c r="S690" s="12"/>
      <c r="T690" s="12"/>
      <c r="U690" s="10" t="str">
        <f>HYPERLINK("https://pbs.twimg.com/profile_images/1031808247680970753/Gi-hhbOC.jpg","View")</f>
        <v>View</v>
      </c>
    </row>
    <row r="691" spans="1:21" ht="51">
      <c r="A691" s="6">
        <v>43426.488912037035</v>
      </c>
      <c r="B691" s="7" t="str">
        <f>HYPERLINK("https://twitter.com/daviddrh","@daviddrh")</f>
        <v>@daviddrh</v>
      </c>
      <c r="C691" s="8" t="s">
        <v>1770</v>
      </c>
      <c r="D691" s="9" t="s">
        <v>1771</v>
      </c>
      <c r="E691" s="10" t="str">
        <f>HYPERLINK("https://twitter.com/daviddrh/status/1065556505880158208","1065556505880158208")</f>
        <v>1065556505880158208</v>
      </c>
      <c r="F691" s="12"/>
      <c r="G691" s="11" t="s">
        <v>1772</v>
      </c>
      <c r="H691" s="12"/>
      <c r="I691" s="13">
        <v>0</v>
      </c>
      <c r="J691" s="13">
        <v>0</v>
      </c>
      <c r="K691" s="14" t="str">
        <f>HYPERLINK("http://twitter.com/download/iphone","Twitter for iPhone")</f>
        <v>Twitter for iPhone</v>
      </c>
      <c r="L691" s="13">
        <v>68</v>
      </c>
      <c r="M691" s="13">
        <v>168</v>
      </c>
      <c r="N691" s="13">
        <v>1</v>
      </c>
      <c r="O691" s="15"/>
      <c r="P691" s="6">
        <v>40085.727812500001</v>
      </c>
      <c r="Q691" s="16" t="s">
        <v>1773</v>
      </c>
      <c r="R691" s="19"/>
      <c r="S691" s="12"/>
      <c r="T691" s="12"/>
      <c r="U691" s="10" t="str">
        <f>HYPERLINK("https://pbs.twimg.com/profile_images/973280611099168774/gkWy4Mjo.jpg","View")</f>
        <v>View</v>
      </c>
    </row>
    <row r="692" spans="1:21" ht="20.399999999999999">
      <c r="A692" s="6">
        <v>43426.488518518519</v>
      </c>
      <c r="B692" s="7" t="str">
        <f>HYPERLINK("https://twitter.com/javierpink","@javierpink")</f>
        <v>@javierpink</v>
      </c>
      <c r="C692" s="8" t="s">
        <v>3861</v>
      </c>
      <c r="D692" s="9" t="s">
        <v>3862</v>
      </c>
      <c r="E692" s="10" t="str">
        <f>HYPERLINK("https://twitter.com/javierpink/status/1065556361805742080","1065556361805742080")</f>
        <v>1065556361805742080</v>
      </c>
      <c r="F692" s="11" t="s">
        <v>557</v>
      </c>
      <c r="G692" s="12"/>
      <c r="H692" s="12"/>
      <c r="I692" s="13">
        <v>0</v>
      </c>
      <c r="J692" s="13">
        <v>0</v>
      </c>
      <c r="K692" s="14" t="str">
        <f t="shared" ref="K692:K693" si="139">HYPERLINK("http://twitter.com/download/android","Twitter for Android")</f>
        <v>Twitter for Android</v>
      </c>
      <c r="L692" s="13">
        <v>1604</v>
      </c>
      <c r="M692" s="13">
        <v>1072</v>
      </c>
      <c r="N692" s="13">
        <v>46</v>
      </c>
      <c r="O692" s="15"/>
      <c r="P692" s="6">
        <v>40814.599710648152</v>
      </c>
      <c r="Q692" s="16" t="s">
        <v>3864</v>
      </c>
      <c r="R692" s="17" t="s">
        <v>3865</v>
      </c>
      <c r="S692" s="12"/>
      <c r="T692" s="12"/>
      <c r="U692" s="10" t="str">
        <f>HYPERLINK("https://pbs.twimg.com/profile_images/945247893799268353/cJIjNqei.jpg","View")</f>
        <v>View</v>
      </c>
    </row>
    <row r="693" spans="1:21" ht="40.799999999999997">
      <c r="A693" s="6">
        <v>43426.487407407403</v>
      </c>
      <c r="B693" s="7" t="str">
        <f>HYPERLINK("https://twitter.com/Shirataraxia","@Shirataraxia")</f>
        <v>@Shirataraxia</v>
      </c>
      <c r="C693" s="8" t="s">
        <v>1774</v>
      </c>
      <c r="D693" s="9" t="s">
        <v>1775</v>
      </c>
      <c r="E693" s="10" t="str">
        <f>HYPERLINK("https://twitter.com/Shirataraxia/status/1065555957638410242","1065555957638410242")</f>
        <v>1065555957638410242</v>
      </c>
      <c r="F693" s="16" t="s">
        <v>1776</v>
      </c>
      <c r="G693" s="12"/>
      <c r="H693" s="12"/>
      <c r="I693" s="13">
        <v>1</v>
      </c>
      <c r="J693" s="13">
        <v>1</v>
      </c>
      <c r="K693" s="14" t="str">
        <f t="shared" si="139"/>
        <v>Twitter for Android</v>
      </c>
      <c r="L693" s="13">
        <v>1877</v>
      </c>
      <c r="M693" s="13">
        <v>2496</v>
      </c>
      <c r="N693" s="13">
        <v>14</v>
      </c>
      <c r="O693" s="15"/>
      <c r="P693" s="6">
        <v>42685.498611111107</v>
      </c>
      <c r="Q693" s="16" t="s">
        <v>496</v>
      </c>
      <c r="R693" s="17" t="s">
        <v>1777</v>
      </c>
      <c r="S693" s="12"/>
      <c r="T693" s="12"/>
      <c r="U693" s="10" t="str">
        <f>HYPERLINK("https://pbs.twimg.com/profile_images/1003356183673991168/awgEU0fq.jpg","View")</f>
        <v>View</v>
      </c>
    </row>
    <row r="694" spans="1:21" ht="20.399999999999999">
      <c r="A694" s="6">
        <v>43426.486782407403</v>
      </c>
      <c r="B694" s="7" t="str">
        <f>HYPERLINK("https://twitter.com/LaVanguardia","@LaVanguardia")</f>
        <v>@LaVanguardia</v>
      </c>
      <c r="C694" s="8" t="s">
        <v>3870</v>
      </c>
      <c r="D694" s="9" t="s">
        <v>3871</v>
      </c>
      <c r="E694" s="10" t="str">
        <f>HYPERLINK("https://twitter.com/LaVanguardia/status/1065555734925053953","1065555734925053953")</f>
        <v>1065555734925053953</v>
      </c>
      <c r="F694" s="11" t="s">
        <v>3874</v>
      </c>
      <c r="G694" s="12"/>
      <c r="H694" s="12"/>
      <c r="I694" s="13">
        <v>6</v>
      </c>
      <c r="J694" s="13">
        <v>7</v>
      </c>
      <c r="K694" s="14" t="str">
        <f>HYPERLINK("http://www.lavanguardia.es","App publicación twits DGRID")</f>
        <v>App publicación twits DGRID</v>
      </c>
      <c r="L694" s="13">
        <v>997177</v>
      </c>
      <c r="M694" s="13">
        <v>523</v>
      </c>
      <c r="N694" s="13">
        <v>12535</v>
      </c>
      <c r="O694" s="18" t="s">
        <v>36</v>
      </c>
      <c r="P694" s="6">
        <v>40071.664548611108</v>
      </c>
      <c r="Q694" s="16" t="s">
        <v>75</v>
      </c>
      <c r="R694" s="17" t="s">
        <v>3878</v>
      </c>
      <c r="S694" s="11" t="s">
        <v>3879</v>
      </c>
      <c r="T694" s="12"/>
      <c r="U694" s="10" t="str">
        <f>HYPERLINK("https://pbs.twimg.com/profile_images/936873783721320448/6Q97S0pp.jpg","View")</f>
        <v>View</v>
      </c>
    </row>
    <row r="695" spans="1:21" ht="30.6">
      <c r="A695" s="6">
        <v>43426.482488425929</v>
      </c>
      <c r="B695" s="7" t="str">
        <f>HYPERLINK("https://twitter.com/ser1gio","@ser1gio")</f>
        <v>@ser1gio</v>
      </c>
      <c r="C695" s="8" t="s">
        <v>1781</v>
      </c>
      <c r="D695" s="9" t="s">
        <v>1782</v>
      </c>
      <c r="E695" s="10" t="str">
        <f>HYPERLINK("https://twitter.com/ser1gio/status/1065554177177411584","1065554177177411584")</f>
        <v>1065554177177411584</v>
      </c>
      <c r="F695" s="11" t="s">
        <v>1783</v>
      </c>
      <c r="G695" s="12"/>
      <c r="H695" s="12"/>
      <c r="I695" s="13">
        <v>0</v>
      </c>
      <c r="J695" s="13">
        <v>1</v>
      </c>
      <c r="K695" s="14" t="str">
        <f>HYPERLINK("http://twitter.com/download/android","Twitter for Android")</f>
        <v>Twitter for Android</v>
      </c>
      <c r="L695" s="13">
        <v>34</v>
      </c>
      <c r="M695" s="13">
        <v>129</v>
      </c>
      <c r="N695" s="13">
        <v>0</v>
      </c>
      <c r="O695" s="15"/>
      <c r="P695" s="6">
        <v>40073.104594907403</v>
      </c>
      <c r="Q695" s="16" t="s">
        <v>1786</v>
      </c>
      <c r="R695" s="17" t="s">
        <v>1787</v>
      </c>
      <c r="S695" s="12"/>
      <c r="T695" s="12"/>
      <c r="U695" s="10" t="str">
        <f>HYPERLINK("https://pbs.twimg.com/profile_images/1015010934463582213/LfCpOrO2.jpg","View")</f>
        <v>View</v>
      </c>
    </row>
    <row r="696" spans="1:21" ht="51">
      <c r="A696" s="6">
        <v>43426.481157407412</v>
      </c>
      <c r="B696" s="7" t="str">
        <f>HYPERLINK("https://twitter.com/inakipardot","@inakipardot")</f>
        <v>@inakipardot</v>
      </c>
      <c r="C696" s="8" t="s">
        <v>3883</v>
      </c>
      <c r="D696" s="9" t="s">
        <v>3885</v>
      </c>
      <c r="E696" s="10" t="str">
        <f>HYPERLINK("https://twitter.com/inakipardot/status/1065553695461515265","1065553695461515265")</f>
        <v>1065553695461515265</v>
      </c>
      <c r="F696" s="11" t="s">
        <v>1167</v>
      </c>
      <c r="G696" s="12"/>
      <c r="H696" s="12"/>
      <c r="I696" s="13">
        <v>0</v>
      </c>
      <c r="J696" s="13">
        <v>0</v>
      </c>
      <c r="K696" s="14" t="str">
        <f t="shared" ref="K696:K698" si="140">HYPERLINK("http://twitter.com","Twitter Web Client")</f>
        <v>Twitter Web Client</v>
      </c>
      <c r="L696" s="13">
        <v>1231</v>
      </c>
      <c r="M696" s="13">
        <v>3160</v>
      </c>
      <c r="N696" s="13">
        <v>73</v>
      </c>
      <c r="O696" s="15"/>
      <c r="P696" s="6">
        <v>40321.717534722222</v>
      </c>
      <c r="Q696" s="16" t="s">
        <v>3886</v>
      </c>
      <c r="R696" s="17" t="s">
        <v>3887</v>
      </c>
      <c r="S696" s="12"/>
      <c r="T696" s="12"/>
      <c r="U696" s="10" t="str">
        <f>HYPERLINK("https://pbs.twimg.com/profile_images/532339238079983616/qOmya1Et.jpeg","View")</f>
        <v>View</v>
      </c>
    </row>
    <row r="697" spans="1:21" ht="40.799999999999997">
      <c r="A697" s="6">
        <v>43426.47184027778</v>
      </c>
      <c r="B697" s="7" t="str">
        <f>HYPERLINK("https://twitter.com/valesia2","@valesia2")</f>
        <v>@valesia2</v>
      </c>
      <c r="C697" s="8" t="s">
        <v>3889</v>
      </c>
      <c r="D697" s="9" t="s">
        <v>3890</v>
      </c>
      <c r="E697" s="10" t="str">
        <f>HYPERLINK("https://twitter.com/valesia2/status/1065550316198801409","1065550316198801409")</f>
        <v>1065550316198801409</v>
      </c>
      <c r="F697" s="11" t="s">
        <v>2873</v>
      </c>
      <c r="G697" s="12"/>
      <c r="H697" s="12"/>
      <c r="I697" s="13">
        <v>3</v>
      </c>
      <c r="J697" s="13">
        <v>2</v>
      </c>
      <c r="K697" s="14" t="str">
        <f t="shared" si="140"/>
        <v>Twitter Web Client</v>
      </c>
      <c r="L697" s="13">
        <v>1576</v>
      </c>
      <c r="M697" s="13">
        <v>1501</v>
      </c>
      <c r="N697" s="13">
        <v>5</v>
      </c>
      <c r="O697" s="15"/>
      <c r="P697" s="6">
        <v>40495.845358796294</v>
      </c>
      <c r="Q697" s="12"/>
      <c r="R697" s="17" t="s">
        <v>3891</v>
      </c>
      <c r="S697" s="12"/>
      <c r="T697" s="12"/>
      <c r="U697" s="10" t="str">
        <f>HYPERLINK("https://pbs.twimg.com/profile_images/959426220663496704/2x1GnkHD.jpg","View")</f>
        <v>View</v>
      </c>
    </row>
    <row r="698" spans="1:21" ht="81.599999999999994">
      <c r="A698" s="6">
        <v>43426.467615740738</v>
      </c>
      <c r="B698" s="7" t="str">
        <f>HYPERLINK("https://twitter.com/HerasMada","@HerasMada")</f>
        <v>@HerasMada</v>
      </c>
      <c r="C698" s="8" t="s">
        <v>1657</v>
      </c>
      <c r="D698" s="9" t="s">
        <v>1788</v>
      </c>
      <c r="E698" s="10" t="str">
        <f>HYPERLINK("https://twitter.com/HerasMada/status/1065548785672224768","1065548785672224768")</f>
        <v>1065548785672224768</v>
      </c>
      <c r="F698" s="16" t="s">
        <v>1791</v>
      </c>
      <c r="G698" s="12"/>
      <c r="H698" s="12"/>
      <c r="I698" s="13">
        <v>0</v>
      </c>
      <c r="J698" s="13">
        <v>0</v>
      </c>
      <c r="K698" s="14" t="str">
        <f t="shared" si="140"/>
        <v>Twitter Web Client</v>
      </c>
      <c r="L698" s="13">
        <v>669</v>
      </c>
      <c r="M698" s="13">
        <v>948</v>
      </c>
      <c r="N698" s="13">
        <v>11</v>
      </c>
      <c r="O698" s="15"/>
      <c r="P698" s="6">
        <v>40880.467465277776</v>
      </c>
      <c r="Q698" s="12"/>
      <c r="R698" s="17" t="s">
        <v>1663</v>
      </c>
      <c r="S698" s="11" t="s">
        <v>1664</v>
      </c>
      <c r="T698" s="12"/>
      <c r="U698" s="10" t="str">
        <f>HYPERLINK("https://pbs.twimg.com/profile_images/961909869937819649/FVR2iJbw.jpg","View")</f>
        <v>View</v>
      </c>
    </row>
    <row r="699" spans="1:21" ht="20.399999999999999">
      <c r="A699" s="6">
        <v>43426.46497685185</v>
      </c>
      <c r="B699" s="7" t="str">
        <f>HYPERLINK("https://twitter.com/Lornavmor","@Lornavmor")</f>
        <v>@Lornavmor</v>
      </c>
      <c r="C699" s="8" t="s">
        <v>3900</v>
      </c>
      <c r="D699" s="9" t="s">
        <v>3901</v>
      </c>
      <c r="E699" s="10" t="str">
        <f>HYPERLINK("https://twitter.com/Lornavmor/status/1065547830234947584","1065547830234947584")</f>
        <v>1065547830234947584</v>
      </c>
      <c r="F699" s="12"/>
      <c r="G699" s="11" t="s">
        <v>3902</v>
      </c>
      <c r="H699" s="12"/>
      <c r="I699" s="13">
        <v>1</v>
      </c>
      <c r="J699" s="13">
        <v>16</v>
      </c>
      <c r="K699" s="14" t="str">
        <f>HYPERLINK("http://twitter.com/download/android","Twitter for Android")</f>
        <v>Twitter for Android</v>
      </c>
      <c r="L699" s="13">
        <v>687</v>
      </c>
      <c r="M699" s="13">
        <v>297</v>
      </c>
      <c r="N699" s="13">
        <v>20</v>
      </c>
      <c r="O699" s="15"/>
      <c r="P699" s="6">
        <v>40425.564039351855</v>
      </c>
      <c r="Q699" s="16" t="s">
        <v>75</v>
      </c>
      <c r="R699" s="17" t="s">
        <v>3905</v>
      </c>
      <c r="S699" s="12"/>
      <c r="T699" s="12"/>
      <c r="U699" s="10" t="str">
        <f>HYPERLINK("https://pbs.twimg.com/profile_images/1060820507581444096/oL-o6lf4.jpg","View")</f>
        <v>View</v>
      </c>
    </row>
    <row r="700" spans="1:21" ht="20.399999999999999">
      <c r="A700" s="6">
        <v>43426.462199074071</v>
      </c>
      <c r="B700" s="7" t="str">
        <f>HYPERLINK("https://twitter.com/Ha_do_que","@Ha_do_que")</f>
        <v>@Ha_do_que</v>
      </c>
      <c r="C700" s="8" t="s">
        <v>3909</v>
      </c>
      <c r="D700" s="9" t="s">
        <v>3910</v>
      </c>
      <c r="E700" s="10" t="str">
        <f>HYPERLINK("https://twitter.com/Ha_do_que/status/1065546825137078272","1065546825137078272")</f>
        <v>1065546825137078272</v>
      </c>
      <c r="F700" s="12"/>
      <c r="G700" s="12"/>
      <c r="H700" s="12"/>
      <c r="I700" s="13">
        <v>0</v>
      </c>
      <c r="J700" s="13">
        <v>0</v>
      </c>
      <c r="K700" s="14" t="str">
        <f>HYPERLINK("https://mobile.twitter.com","Twitter Lite")</f>
        <v>Twitter Lite</v>
      </c>
      <c r="L700" s="13">
        <v>224</v>
      </c>
      <c r="M700" s="13">
        <v>360</v>
      </c>
      <c r="N700" s="13">
        <v>8</v>
      </c>
      <c r="O700" s="15"/>
      <c r="P700" s="6">
        <v>42242.733680555553</v>
      </c>
      <c r="Q700" s="12"/>
      <c r="R700" s="17" t="s">
        <v>3913</v>
      </c>
      <c r="S700" s="12"/>
      <c r="T700" s="12"/>
      <c r="U700" s="10" t="str">
        <f>HYPERLINK("https://pbs.twimg.com/profile_images/875375821824950272/1sJY4kyP.jpg","View")</f>
        <v>View</v>
      </c>
    </row>
    <row r="701" spans="1:21" ht="40.799999999999997">
      <c r="A701" s="6">
        <v>43426.460462962961</v>
      </c>
      <c r="B701" s="7" t="str">
        <f>HYPERLINK("https://twitter.com/lopezbarrancoj4","@lopezbarrancoj4")</f>
        <v>@lopezbarrancoj4</v>
      </c>
      <c r="C701" s="8" t="s">
        <v>3914</v>
      </c>
      <c r="D701" s="9" t="s">
        <v>3915</v>
      </c>
      <c r="E701" s="10" t="str">
        <f>HYPERLINK("https://twitter.com/lopezbarrancoj4/status/1065546194238214144","1065546194238214144")</f>
        <v>1065546194238214144</v>
      </c>
      <c r="F701" s="12"/>
      <c r="G701" s="12"/>
      <c r="H701" s="12"/>
      <c r="I701" s="13">
        <v>0</v>
      </c>
      <c r="J701" s="13">
        <v>0</v>
      </c>
      <c r="K701" s="14" t="str">
        <f>HYPERLINK("http://twitter.com","Twitter Web Client")</f>
        <v>Twitter Web Client</v>
      </c>
      <c r="L701" s="13">
        <v>10</v>
      </c>
      <c r="M701" s="13">
        <v>46</v>
      </c>
      <c r="N701" s="13">
        <v>0</v>
      </c>
      <c r="O701" s="15"/>
      <c r="P701" s="6">
        <v>42912.444780092592</v>
      </c>
      <c r="Q701" s="12"/>
      <c r="R701" s="19"/>
      <c r="S701" s="12"/>
      <c r="T701" s="12"/>
      <c r="U701" s="18" t="s">
        <v>559</v>
      </c>
    </row>
    <row r="702" spans="1:21" ht="40.799999999999997">
      <c r="A702" s="6">
        <v>43426.459722222222</v>
      </c>
      <c r="B702" s="7" t="str">
        <f>HYPERLINK("https://twitter.com/bitMomentum","@bitMomentum")</f>
        <v>@bitMomentum</v>
      </c>
      <c r="C702" s="8" t="s">
        <v>706</v>
      </c>
      <c r="D702" s="9" t="s">
        <v>1795</v>
      </c>
      <c r="E702" s="10" t="str">
        <f>HYPERLINK("https://twitter.com/bitMomentum/status/1065545925429477377","1065545925429477377")</f>
        <v>1065545925429477377</v>
      </c>
      <c r="F702" s="12"/>
      <c r="G702" s="12"/>
      <c r="H702" s="12"/>
      <c r="I702" s="13">
        <v>0</v>
      </c>
      <c r="J702" s="13">
        <v>0</v>
      </c>
      <c r="K702" s="14" t="str">
        <f>HYPERLINK("http://www.bitmomentum.com","bitMomentum Bot")</f>
        <v>bitMomentum Bot</v>
      </c>
      <c r="L702" s="13">
        <v>10132</v>
      </c>
      <c r="M702" s="13">
        <v>1060</v>
      </c>
      <c r="N702" s="13">
        <v>262</v>
      </c>
      <c r="O702" s="15"/>
      <c r="P702" s="6">
        <v>41608.667511574073</v>
      </c>
      <c r="Q702" s="12"/>
      <c r="R702" s="17" t="s">
        <v>708</v>
      </c>
      <c r="S702" s="11" t="s">
        <v>709</v>
      </c>
      <c r="T702" s="12"/>
      <c r="U702" s="10" t="str">
        <f>HYPERLINK("https://pbs.twimg.com/profile_images/378800000862185241/20ij2H3u.png","View")</f>
        <v>View</v>
      </c>
    </row>
    <row r="703" spans="1:21" ht="40.799999999999997">
      <c r="A703" s="6">
        <v>43426.459201388891</v>
      </c>
      <c r="B703" s="7" t="str">
        <f>HYPERLINK("https://twitter.com/sonia_riverogc","@sonia_riverogc")</f>
        <v>@sonia_riverogc</v>
      </c>
      <c r="C703" s="8" t="s">
        <v>3923</v>
      </c>
      <c r="D703" s="9" t="s">
        <v>3925</v>
      </c>
      <c r="E703" s="10" t="str">
        <f>HYPERLINK("https://twitter.com/sonia_riverogc/status/1065545737554006017","1065545737554006017")</f>
        <v>1065545737554006017</v>
      </c>
      <c r="F703" s="11" t="s">
        <v>2873</v>
      </c>
      <c r="G703" s="12"/>
      <c r="H703" s="12"/>
      <c r="I703" s="13">
        <v>0</v>
      </c>
      <c r="J703" s="13">
        <v>0</v>
      </c>
      <c r="K703" s="14" t="str">
        <f>HYPERLINK("http://twitter.com","Twitter Web Client")</f>
        <v>Twitter Web Client</v>
      </c>
      <c r="L703" s="13">
        <v>1537</v>
      </c>
      <c r="M703" s="13">
        <v>1215</v>
      </c>
      <c r="N703" s="13">
        <v>19</v>
      </c>
      <c r="O703" s="15"/>
      <c r="P703" s="6">
        <v>40911.588993055557</v>
      </c>
      <c r="Q703" s="12"/>
      <c r="R703" s="19"/>
      <c r="S703" s="12"/>
      <c r="T703" s="12"/>
      <c r="U703" s="10" t="str">
        <f>HYPERLINK("https://pbs.twimg.com/profile_images/1000763977511686145/1e_jzlp0.jpg","View")</f>
        <v>View</v>
      </c>
    </row>
    <row r="704" spans="1:21" ht="40.799999999999997">
      <c r="A704" s="6">
        <v>43426.459027777775</v>
      </c>
      <c r="B704" s="7" t="str">
        <f>HYPERLINK("https://twitter.com/bitMomentum","@bitMomentum")</f>
        <v>@bitMomentum</v>
      </c>
      <c r="C704" s="8" t="s">
        <v>706</v>
      </c>
      <c r="D704" s="9" t="s">
        <v>1798</v>
      </c>
      <c r="E704" s="10" t="str">
        <f>HYPERLINK("https://twitter.com/bitMomentum/status/1065545673783894016","1065545673783894016")</f>
        <v>1065545673783894016</v>
      </c>
      <c r="F704" s="12"/>
      <c r="G704" s="12"/>
      <c r="H704" s="12"/>
      <c r="I704" s="13">
        <v>1</v>
      </c>
      <c r="J704" s="13">
        <v>0</v>
      </c>
      <c r="K704" s="14" t="str">
        <f>HYPERLINK("http://www.bitmomentum.com","bitMomentum Bot")</f>
        <v>bitMomentum Bot</v>
      </c>
      <c r="L704" s="13">
        <v>10132</v>
      </c>
      <c r="M704" s="13">
        <v>1060</v>
      </c>
      <c r="N704" s="13">
        <v>262</v>
      </c>
      <c r="O704" s="15"/>
      <c r="P704" s="6">
        <v>41608.667511574073</v>
      </c>
      <c r="Q704" s="12"/>
      <c r="R704" s="17" t="s">
        <v>708</v>
      </c>
      <c r="S704" s="11" t="s">
        <v>709</v>
      </c>
      <c r="T704" s="12"/>
      <c r="U704" s="10" t="str">
        <f>HYPERLINK("https://pbs.twimg.com/profile_images/378800000862185241/20ij2H3u.png","View")</f>
        <v>View</v>
      </c>
    </row>
    <row r="705" spans="1:21" ht="40.799999999999997">
      <c r="A705" s="6">
        <v>43426.45857638889</v>
      </c>
      <c r="B705" s="7" t="str">
        <f>HYPERLINK("https://twitter.com/yonki_balboa","@yonki_balboa")</f>
        <v>@yonki_balboa</v>
      </c>
      <c r="C705" s="8" t="s">
        <v>3933</v>
      </c>
      <c r="D705" s="9" t="s">
        <v>3934</v>
      </c>
      <c r="E705" s="10" t="str">
        <f>HYPERLINK("https://twitter.com/yonki_balboa/status/1065545510327648256","1065545510327648256")</f>
        <v>1065545510327648256</v>
      </c>
      <c r="F705" s="12"/>
      <c r="G705" s="12"/>
      <c r="H705" s="12"/>
      <c r="I705" s="13">
        <v>0</v>
      </c>
      <c r="J705" s="13">
        <v>0</v>
      </c>
      <c r="K705" s="14" t="str">
        <f>HYPERLINK("http://twitter.com/download/android","Twitter for Android")</f>
        <v>Twitter for Android</v>
      </c>
      <c r="L705" s="13">
        <v>71</v>
      </c>
      <c r="M705" s="13">
        <v>165</v>
      </c>
      <c r="N705" s="13">
        <v>0</v>
      </c>
      <c r="O705" s="15"/>
      <c r="P705" s="6">
        <v>42874.001944444448</v>
      </c>
      <c r="Q705" s="12"/>
      <c r="R705" s="17" t="s">
        <v>3937</v>
      </c>
      <c r="S705" s="12"/>
      <c r="T705" s="12"/>
      <c r="U705" s="10" t="str">
        <f>HYPERLINK("https://pbs.twimg.com/profile_images/1054225139456503809/mzxV783O.jpg","View")</f>
        <v>View</v>
      </c>
    </row>
    <row r="706" spans="1:21" ht="40.799999999999997">
      <c r="A706" s="6">
        <v>43426.458472222221</v>
      </c>
      <c r="B706" s="7" t="str">
        <f>HYPERLINK("https://twitter.com/elpais_espana","@elpais_espana")</f>
        <v>@elpais_espana</v>
      </c>
      <c r="C706" s="8" t="s">
        <v>3938</v>
      </c>
      <c r="D706" s="9" t="s">
        <v>3940</v>
      </c>
      <c r="E706" s="10" t="str">
        <f>HYPERLINK("https://twitter.com/elpais_espana/status/1065545475640705025","1065545475640705025")</f>
        <v>1065545475640705025</v>
      </c>
      <c r="F706" s="11" t="s">
        <v>3942</v>
      </c>
      <c r="G706" s="12"/>
      <c r="H706" s="12"/>
      <c r="I706" s="13">
        <v>3</v>
      </c>
      <c r="J706" s="13">
        <v>5</v>
      </c>
      <c r="K706" s="14" t="str">
        <f>HYPERLINK("https://www.hootsuite.com","Hootsuite Inc.")</f>
        <v>Hootsuite Inc.</v>
      </c>
      <c r="L706" s="13">
        <v>402654</v>
      </c>
      <c r="M706" s="13">
        <v>799</v>
      </c>
      <c r="N706" s="13">
        <v>6324</v>
      </c>
      <c r="O706" s="18" t="s">
        <v>36</v>
      </c>
      <c r="P706" s="6">
        <v>40245.788946759261</v>
      </c>
      <c r="Q706" s="16" t="s">
        <v>496</v>
      </c>
      <c r="R706" s="17" t="s">
        <v>3944</v>
      </c>
      <c r="S706" s="11" t="s">
        <v>3945</v>
      </c>
      <c r="T706" s="12"/>
      <c r="U706" s="10" t="str">
        <f>HYPERLINK("https://pbs.twimg.com/profile_images/917337394914955264/aoU6Bl-8.jpg","View")</f>
        <v>View</v>
      </c>
    </row>
    <row r="707" spans="1:21" ht="40.799999999999997">
      <c r="A707" s="6">
        <v>43426.457199074073</v>
      </c>
      <c r="B707" s="7" t="str">
        <f>HYPERLINK("https://twitter.com/AdeSiracusa","@AdeSiracusa")</f>
        <v>@AdeSiracusa</v>
      </c>
      <c r="C707" s="8" t="s">
        <v>3946</v>
      </c>
      <c r="D707" s="9" t="s">
        <v>3947</v>
      </c>
      <c r="E707" s="10" t="str">
        <f>HYPERLINK("https://twitter.com/AdeSiracusa/status/1065545013478768640","1065545013478768640")</f>
        <v>1065545013478768640</v>
      </c>
      <c r="F707" s="11" t="s">
        <v>3948</v>
      </c>
      <c r="G707" s="12"/>
      <c r="H707" s="12"/>
      <c r="I707" s="13">
        <v>0</v>
      </c>
      <c r="J707" s="13">
        <v>1</v>
      </c>
      <c r="K707" s="14" t="str">
        <f>HYPERLINK("http://www.republicosvenezuela.com/","AdeSiracusa")</f>
        <v>AdeSiracusa</v>
      </c>
      <c r="L707" s="13">
        <v>3920</v>
      </c>
      <c r="M707" s="13">
        <v>3927</v>
      </c>
      <c r="N707" s="13">
        <v>12</v>
      </c>
      <c r="O707" s="15"/>
      <c r="P707" s="6">
        <v>42958.576388888891</v>
      </c>
      <c r="Q707" s="16" t="s">
        <v>978</v>
      </c>
      <c r="R707" s="17" t="s">
        <v>3950</v>
      </c>
      <c r="S707" s="12"/>
      <c r="T707" s="12"/>
      <c r="U707" s="10" t="str">
        <f>HYPERLINK("https://pbs.twimg.com/profile_images/895978354591105024/x2wNXrPl.jpg","View")</f>
        <v>View</v>
      </c>
    </row>
    <row r="708" spans="1:21" ht="40.799999999999997">
      <c r="A708" s="6">
        <v>43426.454687500001</v>
      </c>
      <c r="B708" s="7" t="str">
        <f>HYPERLINK("https://twitter.com/gepigom2883","@gepigom2883")</f>
        <v>@gepigom2883</v>
      </c>
      <c r="C708" s="8" t="s">
        <v>1799</v>
      </c>
      <c r="D708" s="9" t="s">
        <v>1800</v>
      </c>
      <c r="E708" s="10" t="str">
        <f>HYPERLINK("https://twitter.com/gepigom2883/status/1065544100236136448","1065544100236136448")</f>
        <v>1065544100236136448</v>
      </c>
      <c r="F708" s="11" t="s">
        <v>1801</v>
      </c>
      <c r="G708" s="12"/>
      <c r="H708" s="12"/>
      <c r="I708" s="13">
        <v>0</v>
      </c>
      <c r="J708" s="13">
        <v>0</v>
      </c>
      <c r="K708" s="14" t="str">
        <f>HYPERLINK("http://twitter.com","Twitter Web Client")</f>
        <v>Twitter Web Client</v>
      </c>
      <c r="L708" s="13">
        <v>115</v>
      </c>
      <c r="M708" s="13">
        <v>259</v>
      </c>
      <c r="N708" s="13">
        <v>1</v>
      </c>
      <c r="O708" s="15"/>
      <c r="P708" s="6">
        <v>40539.653645833336</v>
      </c>
      <c r="Q708" s="16" t="s">
        <v>1802</v>
      </c>
      <c r="R708" s="17" t="s">
        <v>1803</v>
      </c>
      <c r="S708" s="12"/>
      <c r="T708" s="12"/>
      <c r="U708" s="10" t="str">
        <f>HYPERLINK("https://pbs.twimg.com/profile_images/949741579580960770/ra6kQmmK.jpg","View")</f>
        <v>View</v>
      </c>
    </row>
    <row r="709" spans="1:21" ht="40.799999999999997">
      <c r="A709" s="6">
        <v>43426.45039351852</v>
      </c>
      <c r="B709" s="7" t="str">
        <f>HYPERLINK("https://twitter.com/elespanolcom","@elespanolcom")</f>
        <v>@elespanolcom</v>
      </c>
      <c r="C709" s="8" t="s">
        <v>3954</v>
      </c>
      <c r="D709" s="9" t="s">
        <v>3955</v>
      </c>
      <c r="E709" s="10" t="str">
        <f>HYPERLINK("https://twitter.com/elespanolcom/status/1065542545760051206","1065542545760051206")</f>
        <v>1065542545760051206</v>
      </c>
      <c r="F709" s="11" t="s">
        <v>2873</v>
      </c>
      <c r="G709" s="12"/>
      <c r="H709" s="12"/>
      <c r="I709" s="13">
        <v>17</v>
      </c>
      <c r="J709" s="13">
        <v>43</v>
      </c>
      <c r="K709" s="14" t="str">
        <f>HYPERLINK("https://about.twitter.com/products/tweetdeck","TweetDeck")</f>
        <v>TweetDeck</v>
      </c>
      <c r="L709" s="13">
        <v>339500</v>
      </c>
      <c r="M709" s="13">
        <v>696</v>
      </c>
      <c r="N709" s="13">
        <v>4608</v>
      </c>
      <c r="O709" s="18" t="s">
        <v>36</v>
      </c>
      <c r="P709" s="6">
        <v>41977.714791666665</v>
      </c>
      <c r="Q709" s="16" t="s">
        <v>496</v>
      </c>
      <c r="R709" s="17" t="s">
        <v>3958</v>
      </c>
      <c r="S709" s="11" t="s">
        <v>3959</v>
      </c>
      <c r="T709" s="12"/>
      <c r="U709" s="10" t="str">
        <f>HYPERLINK("https://pbs.twimg.com/profile_images/1053402501314240513/ffMWi2cq.jpg","View")</f>
        <v>View</v>
      </c>
    </row>
    <row r="710" spans="1:21" ht="20.399999999999999">
      <c r="A710" s="6">
        <v>43426.446122685185</v>
      </c>
      <c r="B710" s="7" t="str">
        <f>HYPERLINK("https://twitter.com/JaimeGalisteo","@JaimeGalisteo")</f>
        <v>@JaimeGalisteo</v>
      </c>
      <c r="C710" s="8" t="s">
        <v>3961</v>
      </c>
      <c r="D710" s="9" t="s">
        <v>3962</v>
      </c>
      <c r="E710" s="10" t="str">
        <f>HYPERLINK("https://twitter.com/JaimeGalisteo/status/1065540996484734977","1065540996484734977")</f>
        <v>1065540996484734977</v>
      </c>
      <c r="F710" s="11" t="s">
        <v>495</v>
      </c>
      <c r="G710" s="12"/>
      <c r="H710" s="12"/>
      <c r="I710" s="13">
        <v>0</v>
      </c>
      <c r="J710" s="13">
        <v>0</v>
      </c>
      <c r="K710" s="14" t="str">
        <f>HYPERLINK("http://www.facebook.com/twitter","Facebook")</f>
        <v>Facebook</v>
      </c>
      <c r="L710" s="13">
        <v>98</v>
      </c>
      <c r="M710" s="13">
        <v>358</v>
      </c>
      <c r="N710" s="13">
        <v>2</v>
      </c>
      <c r="O710" s="15"/>
      <c r="P710" s="6">
        <v>41481.863969907405</v>
      </c>
      <c r="Q710" s="16" t="s">
        <v>333</v>
      </c>
      <c r="R710" s="17" t="s">
        <v>3969</v>
      </c>
      <c r="S710" s="11" t="s">
        <v>3970</v>
      </c>
      <c r="T710" s="12"/>
      <c r="U710" s="10" t="str">
        <f>HYPERLINK("https://pbs.twimg.com/profile_images/840221205760204800/qTU2AlQ1.jpg","View")</f>
        <v>View</v>
      </c>
    </row>
    <row r="711" spans="1:21" ht="61.2">
      <c r="A711" s="6">
        <v>43426.441064814819</v>
      </c>
      <c r="B711" s="7" t="str">
        <f>HYPERLINK("https://twitter.com/laulaunya","@laulaunya")</f>
        <v>@laulaunya</v>
      </c>
      <c r="C711" s="8" t="s">
        <v>3972</v>
      </c>
      <c r="D711" s="9" t="s">
        <v>3973</v>
      </c>
      <c r="E711" s="10" t="str">
        <f>HYPERLINK("https://twitter.com/laulaunya/status/1065539166073692161","1065539166073692161")</f>
        <v>1065539166073692161</v>
      </c>
      <c r="F711" s="16" t="s">
        <v>1421</v>
      </c>
      <c r="G711" s="12"/>
      <c r="H711" s="12"/>
      <c r="I711" s="13">
        <v>0</v>
      </c>
      <c r="J711" s="13">
        <v>0</v>
      </c>
      <c r="K711" s="14" t="str">
        <f>HYPERLINK("https://mobile.twitter.com","Twitter Lite")</f>
        <v>Twitter Lite</v>
      </c>
      <c r="L711" s="13">
        <v>193</v>
      </c>
      <c r="M711" s="13">
        <v>1310</v>
      </c>
      <c r="N711" s="13">
        <v>8</v>
      </c>
      <c r="O711" s="15"/>
      <c r="P711" s="6">
        <v>40024.648136574076</v>
      </c>
      <c r="Q711" s="16" t="s">
        <v>75</v>
      </c>
      <c r="R711" s="17" t="s">
        <v>3974</v>
      </c>
      <c r="S711" s="12"/>
      <c r="T711" s="12"/>
      <c r="U711" s="10" t="str">
        <f>HYPERLINK("https://pbs.twimg.com/profile_images/838667473272651776/KpybnCba.jpg","View")</f>
        <v>View</v>
      </c>
    </row>
    <row r="712" spans="1:21" ht="40.799999999999997">
      <c r="A712" s="6">
        <v>43426.440740740742</v>
      </c>
      <c r="B712" s="7" t="str">
        <f>HYPERLINK("https://twitter.com/edp","@edp")</f>
        <v>@edp</v>
      </c>
      <c r="C712" s="8" t="s">
        <v>140</v>
      </c>
      <c r="D712" s="9" t="s">
        <v>1806</v>
      </c>
      <c r="E712" s="10" t="str">
        <f>HYPERLINK("https://twitter.com/edp/status/1065539046980677632","1065539046980677632")</f>
        <v>1065539046980677632</v>
      </c>
      <c r="F712" s="12"/>
      <c r="G712" s="12"/>
      <c r="H712" s="12"/>
      <c r="I712" s="13">
        <v>1</v>
      </c>
      <c r="J712" s="13">
        <v>1</v>
      </c>
      <c r="K712" s="14" t="str">
        <f>HYPERLINK("http://twitter.com","Twitter Web Client")</f>
        <v>Twitter Web Client</v>
      </c>
      <c r="L712" s="13">
        <v>5613</v>
      </c>
      <c r="M712" s="13">
        <v>4117</v>
      </c>
      <c r="N712" s="13">
        <v>29</v>
      </c>
      <c r="O712" s="15"/>
      <c r="P712" s="6">
        <v>39289.674039351856</v>
      </c>
      <c r="Q712" s="16" t="s">
        <v>145</v>
      </c>
      <c r="R712" s="17" t="s">
        <v>146</v>
      </c>
      <c r="S712" s="11" t="s">
        <v>147</v>
      </c>
      <c r="T712" s="12"/>
      <c r="U712" s="10" t="str">
        <f>HYPERLINK("https://pbs.twimg.com/profile_images/922061033530896385/ykySPqpK.jpg","View")</f>
        <v>View</v>
      </c>
    </row>
    <row r="713" spans="1:21" ht="40.799999999999997">
      <c r="A713" s="6">
        <v>43426.436643518522</v>
      </c>
      <c r="B713" s="7" t="str">
        <f>HYPERLINK("https://twitter.com/Cs_Guadalajara","@Cs_Guadalajara")</f>
        <v>@Cs_Guadalajara</v>
      </c>
      <c r="C713" s="8" t="s">
        <v>268</v>
      </c>
      <c r="D713" s="9" t="s">
        <v>1811</v>
      </c>
      <c r="E713" s="10" t="str">
        <f>HYPERLINK("https://twitter.com/Cs_Guadalajara/status/1065537565250519040","1065537565250519040")</f>
        <v>1065537565250519040</v>
      </c>
      <c r="F713" s="11" t="s">
        <v>1812</v>
      </c>
      <c r="G713" s="11" t="s">
        <v>1813</v>
      </c>
      <c r="H713" s="12"/>
      <c r="I713" s="13">
        <v>3</v>
      </c>
      <c r="J713" s="13">
        <v>3</v>
      </c>
      <c r="K713" s="14" t="str">
        <f t="shared" ref="K713:K714" si="141">HYPERLINK("http://twitter.com/download/android","Twitter for Android")</f>
        <v>Twitter for Android</v>
      </c>
      <c r="L713" s="13">
        <v>3203</v>
      </c>
      <c r="M713" s="13">
        <v>2388</v>
      </c>
      <c r="N713" s="13">
        <v>56</v>
      </c>
      <c r="O713" s="15"/>
      <c r="P713" s="6">
        <v>41874.941435185188</v>
      </c>
      <c r="Q713" s="16" t="s">
        <v>271</v>
      </c>
      <c r="R713" s="17" t="s">
        <v>272</v>
      </c>
      <c r="S713" s="11" t="s">
        <v>273</v>
      </c>
      <c r="T713" s="12"/>
      <c r="U713" s="10" t="str">
        <f>HYPERLINK("https://pbs.twimg.com/profile_images/899521302339493888/baoQBrzP.jpg","View")</f>
        <v>View</v>
      </c>
    </row>
    <row r="714" spans="1:21" ht="40.799999999999997">
      <c r="A714" s="6">
        <v>43426.43650462963</v>
      </c>
      <c r="B714" s="7" t="str">
        <f>HYPERLINK("https://twitter.com/LpezAraquistain","@LpezAraquistain")</f>
        <v>@LpezAraquistain</v>
      </c>
      <c r="C714" s="8" t="s">
        <v>3984</v>
      </c>
      <c r="D714" s="9" t="s">
        <v>3985</v>
      </c>
      <c r="E714" s="10" t="str">
        <f>HYPERLINK("https://twitter.com/LpezAraquistain/status/1065537511311720449","1065537511311720449")</f>
        <v>1065537511311720449</v>
      </c>
      <c r="F714" s="11" t="s">
        <v>1845</v>
      </c>
      <c r="G714" s="12"/>
      <c r="H714" s="12"/>
      <c r="I714" s="13">
        <v>3</v>
      </c>
      <c r="J714" s="13">
        <v>5</v>
      </c>
      <c r="K714" s="14" t="str">
        <f t="shared" si="141"/>
        <v>Twitter for Android</v>
      </c>
      <c r="L714" s="13">
        <v>2352</v>
      </c>
      <c r="M714" s="13">
        <v>2344</v>
      </c>
      <c r="N714" s="13">
        <v>46</v>
      </c>
      <c r="O714" s="15"/>
      <c r="P714" s="6">
        <v>40619.907407407409</v>
      </c>
      <c r="Q714" s="16" t="s">
        <v>3988</v>
      </c>
      <c r="R714" s="17" t="s">
        <v>3989</v>
      </c>
      <c r="S714" s="12"/>
      <c r="T714" s="12"/>
      <c r="U714" s="10" t="str">
        <f>HYPERLINK("https://pbs.twimg.com/profile_images/1054082880144658432/OPSUu1CB.jpg","View")</f>
        <v>View</v>
      </c>
    </row>
    <row r="715" spans="1:21" ht="51">
      <c r="A715" s="6">
        <v>43426.434872685189</v>
      </c>
      <c r="B715" s="7" t="str">
        <f t="shared" ref="B715:B718" si="142">HYPERLINK("https://twitter.com/CiudadanosCs","@CiudadanosCs")</f>
        <v>@CiudadanosCs</v>
      </c>
      <c r="C715" s="8" t="s">
        <v>196</v>
      </c>
      <c r="D715" s="9" t="s">
        <v>1814</v>
      </c>
      <c r="E715" s="10" t="str">
        <f>HYPERLINK("https://twitter.com/CiudadanosCs/status/1065536921194151937","1065536921194151937")</f>
        <v>1065536921194151937</v>
      </c>
      <c r="F715" s="12"/>
      <c r="G715" s="11" t="s">
        <v>1815</v>
      </c>
      <c r="H715" s="12"/>
      <c r="I715" s="13">
        <v>112</v>
      </c>
      <c r="J715" s="13">
        <v>141</v>
      </c>
      <c r="K715" s="14" t="str">
        <f t="shared" ref="K715:K718" si="143">HYPERLINK("https://studio.twitter.com","Media Studio")</f>
        <v>Media Studio</v>
      </c>
      <c r="L715" s="13">
        <v>486503</v>
      </c>
      <c r="M715" s="13">
        <v>93653</v>
      </c>
      <c r="N715" s="13">
        <v>3318</v>
      </c>
      <c r="O715" s="18" t="s">
        <v>36</v>
      </c>
      <c r="P715" s="6">
        <v>39828.753460648149</v>
      </c>
      <c r="Q715" s="16" t="s">
        <v>37</v>
      </c>
      <c r="R715" s="17" t="s">
        <v>202</v>
      </c>
      <c r="S715" s="11" t="s">
        <v>203</v>
      </c>
      <c r="T715" s="12"/>
      <c r="U715" s="10" t="str">
        <f t="shared" ref="U715:U718" si="144">HYPERLINK("https://pbs.twimg.com/profile_images/1053554096161075200/1z77_zBZ.jpg","View")</f>
        <v>View</v>
      </c>
    </row>
    <row r="716" spans="1:21" ht="40.799999999999997">
      <c r="A716" s="6">
        <v>43426.434444444443</v>
      </c>
      <c r="B716" s="7" t="str">
        <f t="shared" si="142"/>
        <v>@CiudadanosCs</v>
      </c>
      <c r="C716" s="8" t="s">
        <v>196</v>
      </c>
      <c r="D716" s="9" t="s">
        <v>1817</v>
      </c>
      <c r="E716" s="10" t="str">
        <f>HYPERLINK("https://twitter.com/CiudadanosCs/status/1065536766118105088","1065536766118105088")</f>
        <v>1065536766118105088</v>
      </c>
      <c r="F716" s="12"/>
      <c r="G716" s="11" t="s">
        <v>1818</v>
      </c>
      <c r="H716" s="12"/>
      <c r="I716" s="13">
        <v>60</v>
      </c>
      <c r="J716" s="13">
        <v>79</v>
      </c>
      <c r="K716" s="14" t="str">
        <f t="shared" si="143"/>
        <v>Media Studio</v>
      </c>
      <c r="L716" s="13">
        <v>486503</v>
      </c>
      <c r="M716" s="13">
        <v>93653</v>
      </c>
      <c r="N716" s="13">
        <v>3318</v>
      </c>
      <c r="O716" s="18" t="s">
        <v>36</v>
      </c>
      <c r="P716" s="6">
        <v>39828.753460648149</v>
      </c>
      <c r="Q716" s="16" t="s">
        <v>37</v>
      </c>
      <c r="R716" s="17" t="s">
        <v>202</v>
      </c>
      <c r="S716" s="11" t="s">
        <v>203</v>
      </c>
      <c r="T716" s="12"/>
      <c r="U716" s="10" t="str">
        <f t="shared" si="144"/>
        <v>View</v>
      </c>
    </row>
    <row r="717" spans="1:21" ht="51">
      <c r="A717" s="6">
        <v>43426.434224537035</v>
      </c>
      <c r="B717" s="7" t="str">
        <f t="shared" si="142"/>
        <v>@CiudadanosCs</v>
      </c>
      <c r="C717" s="8" t="s">
        <v>196</v>
      </c>
      <c r="D717" s="9" t="s">
        <v>1822</v>
      </c>
      <c r="E717" s="10" t="str">
        <f>HYPERLINK("https://twitter.com/CiudadanosCs/status/1065536686845759489","1065536686845759489")</f>
        <v>1065536686845759489</v>
      </c>
      <c r="F717" s="12"/>
      <c r="G717" s="11" t="s">
        <v>1825</v>
      </c>
      <c r="H717" s="12"/>
      <c r="I717" s="13">
        <v>255</v>
      </c>
      <c r="J717" s="13">
        <v>425</v>
      </c>
      <c r="K717" s="14" t="str">
        <f t="shared" si="143"/>
        <v>Media Studio</v>
      </c>
      <c r="L717" s="13">
        <v>486503</v>
      </c>
      <c r="M717" s="13">
        <v>93653</v>
      </c>
      <c r="N717" s="13">
        <v>3318</v>
      </c>
      <c r="O717" s="18" t="s">
        <v>36</v>
      </c>
      <c r="P717" s="6">
        <v>39828.753460648149</v>
      </c>
      <c r="Q717" s="16" t="s">
        <v>37</v>
      </c>
      <c r="R717" s="17" t="s">
        <v>202</v>
      </c>
      <c r="S717" s="11" t="s">
        <v>203</v>
      </c>
      <c r="T717" s="12"/>
      <c r="U717" s="10" t="str">
        <f t="shared" si="144"/>
        <v>View</v>
      </c>
    </row>
    <row r="718" spans="1:21" ht="51">
      <c r="A718" s="6">
        <v>43426.43377314815</v>
      </c>
      <c r="B718" s="7" t="str">
        <f t="shared" si="142"/>
        <v>@CiudadanosCs</v>
      </c>
      <c r="C718" s="8" t="s">
        <v>196</v>
      </c>
      <c r="D718" s="9" t="s">
        <v>1828</v>
      </c>
      <c r="E718" s="10" t="str">
        <f>HYPERLINK("https://twitter.com/CiudadanosCs/status/1065536522890485760","1065536522890485760")</f>
        <v>1065536522890485760</v>
      </c>
      <c r="F718" s="12"/>
      <c r="G718" s="11" t="s">
        <v>1829</v>
      </c>
      <c r="H718" s="12"/>
      <c r="I718" s="13">
        <v>48</v>
      </c>
      <c r="J718" s="13">
        <v>55</v>
      </c>
      <c r="K718" s="14" t="str">
        <f t="shared" si="143"/>
        <v>Media Studio</v>
      </c>
      <c r="L718" s="13">
        <v>486503</v>
      </c>
      <c r="M718" s="13">
        <v>93653</v>
      </c>
      <c r="N718" s="13">
        <v>3318</v>
      </c>
      <c r="O718" s="18" t="s">
        <v>36</v>
      </c>
      <c r="P718" s="6">
        <v>39828.753460648149</v>
      </c>
      <c r="Q718" s="16" t="s">
        <v>37</v>
      </c>
      <c r="R718" s="17" t="s">
        <v>202</v>
      </c>
      <c r="S718" s="11" t="s">
        <v>203</v>
      </c>
      <c r="T718" s="12"/>
      <c r="U718" s="10" t="str">
        <f t="shared" si="144"/>
        <v>View</v>
      </c>
    </row>
    <row r="719" spans="1:21" ht="51">
      <c r="A719" s="6">
        <v>43426.433333333334</v>
      </c>
      <c r="B719" s="7" t="str">
        <f>HYPERLINK("https://twitter.com/davidquiros","@davidquiros")</f>
        <v>@davidquiros</v>
      </c>
      <c r="C719" s="8" t="s">
        <v>1832</v>
      </c>
      <c r="D719" s="9" t="s">
        <v>1833</v>
      </c>
      <c r="E719" s="10" t="str">
        <f>HYPERLINK("https://twitter.com/davidquiros/status/1065536365578850304","1065536365578850304")</f>
        <v>1065536365578850304</v>
      </c>
      <c r="F719" s="11" t="s">
        <v>1834</v>
      </c>
      <c r="G719" s="12"/>
      <c r="H719" s="12"/>
      <c r="I719" s="13">
        <v>0</v>
      </c>
      <c r="J719" s="13">
        <v>3</v>
      </c>
      <c r="K719" s="14" t="str">
        <f>HYPERLINK("http://twitter.com/download/iphone","Twitter for iPhone")</f>
        <v>Twitter for iPhone</v>
      </c>
      <c r="L719" s="13">
        <v>925</v>
      </c>
      <c r="M719" s="13">
        <v>919</v>
      </c>
      <c r="N719" s="13">
        <v>224</v>
      </c>
      <c r="O719" s="15"/>
      <c r="P719" s="6">
        <v>40630.64644675926</v>
      </c>
      <c r="Q719" s="16" t="s">
        <v>1835</v>
      </c>
      <c r="R719" s="17" t="s">
        <v>1836</v>
      </c>
      <c r="S719" s="11" t="s">
        <v>1837</v>
      </c>
      <c r="T719" s="12"/>
      <c r="U719" s="10" t="str">
        <f>HYPERLINK("https://pbs.twimg.com/profile_images/710061264651862016/28kCrFMc.jpg","View")</f>
        <v>View</v>
      </c>
    </row>
    <row r="720" spans="1:21" ht="40.799999999999997">
      <c r="A720" s="6">
        <v>43426.433287037042</v>
      </c>
      <c r="B720" s="7" t="str">
        <f>HYPERLINK("https://twitter.com/CiudadanosCs","@CiudadanosCs")</f>
        <v>@CiudadanosCs</v>
      </c>
      <c r="C720" s="8" t="s">
        <v>196</v>
      </c>
      <c r="D720" s="9" t="s">
        <v>1838</v>
      </c>
      <c r="E720" s="10" t="str">
        <f>HYPERLINK("https://twitter.com/CiudadanosCs/status/1065536347518181376","1065536347518181376")</f>
        <v>1065536347518181376</v>
      </c>
      <c r="F720" s="12"/>
      <c r="G720" s="11" t="s">
        <v>1840</v>
      </c>
      <c r="H720" s="12"/>
      <c r="I720" s="13">
        <v>83</v>
      </c>
      <c r="J720" s="13">
        <v>120</v>
      </c>
      <c r="K720" s="14" t="str">
        <f>HYPERLINK("https://studio.twitter.com","Media Studio")</f>
        <v>Media Studio</v>
      </c>
      <c r="L720" s="13">
        <v>486503</v>
      </c>
      <c r="M720" s="13">
        <v>93653</v>
      </c>
      <c r="N720" s="13">
        <v>3318</v>
      </c>
      <c r="O720" s="18" t="s">
        <v>36</v>
      </c>
      <c r="P720" s="6">
        <v>39828.753460648149</v>
      </c>
      <c r="Q720" s="16" t="s">
        <v>37</v>
      </c>
      <c r="R720" s="17" t="s">
        <v>202</v>
      </c>
      <c r="S720" s="11" t="s">
        <v>203</v>
      </c>
      <c r="T720" s="12"/>
      <c r="U720" s="10" t="str">
        <f>HYPERLINK("https://pbs.twimg.com/profile_images/1053554096161075200/1z77_zBZ.jpg","View")</f>
        <v>View</v>
      </c>
    </row>
    <row r="721" spans="1:21" ht="51">
      <c r="A721" s="6">
        <v>43426.43105324074</v>
      </c>
      <c r="B721" s="7" t="str">
        <f>HYPERLINK("https://twitter.com/kanyabel","@kanyabel")</f>
        <v>@kanyabel</v>
      </c>
      <c r="C721" s="8" t="s">
        <v>4010</v>
      </c>
      <c r="D721" s="9" t="s">
        <v>4011</v>
      </c>
      <c r="E721" s="10" t="str">
        <f>HYPERLINK("https://twitter.com/kanyabel/status/1065535537384181760","1065535537384181760")</f>
        <v>1065535537384181760</v>
      </c>
      <c r="F721" s="12"/>
      <c r="G721" s="12"/>
      <c r="H721" s="12"/>
      <c r="I721" s="13">
        <v>0</v>
      </c>
      <c r="J721" s="13">
        <v>0</v>
      </c>
      <c r="K721" s="14" t="str">
        <f>HYPERLINK("http://twitter.com/download/android","Twitter for Android")</f>
        <v>Twitter for Android</v>
      </c>
      <c r="L721" s="13">
        <v>845</v>
      </c>
      <c r="M721" s="13">
        <v>736</v>
      </c>
      <c r="N721" s="13">
        <v>57</v>
      </c>
      <c r="O721" s="15"/>
      <c r="P721" s="6">
        <v>40615.72991898148</v>
      </c>
      <c r="Q721" s="16" t="s">
        <v>391</v>
      </c>
      <c r="R721" s="17" t="s">
        <v>4012</v>
      </c>
      <c r="S721" s="12"/>
      <c r="T721" s="12"/>
      <c r="U721" s="10" t="str">
        <f>HYPERLINK("https://pbs.twimg.com/profile_images/673868423575805952/i0k4rq3Y.jpg","View")</f>
        <v>View</v>
      </c>
    </row>
    <row r="722" spans="1:21" ht="40.799999999999997">
      <c r="A722" s="6">
        <v>43426.430011574077</v>
      </c>
      <c r="B722" s="7" t="str">
        <f>HYPERLINK("https://twitter.com/MiriamRuiz_","@MiriamRuiz_")</f>
        <v>@MiriamRuiz_</v>
      </c>
      <c r="C722" s="8" t="s">
        <v>4013</v>
      </c>
      <c r="D722" s="9" t="s">
        <v>4014</v>
      </c>
      <c r="E722" s="10" t="str">
        <f>HYPERLINK("https://twitter.com/MiriamRuiz_/status/1065535158076477440","1065535158076477440")</f>
        <v>1065535158076477440</v>
      </c>
      <c r="F722" s="16" t="s">
        <v>4016</v>
      </c>
      <c r="G722" s="12"/>
      <c r="H722" s="12"/>
      <c r="I722" s="13">
        <v>2</v>
      </c>
      <c r="J722" s="13">
        <v>2</v>
      </c>
      <c r="K722" s="14" t="str">
        <f>HYPERLINK("http://twitter.com","Twitter Web Client")</f>
        <v>Twitter Web Client</v>
      </c>
      <c r="L722" s="13">
        <v>1480</v>
      </c>
      <c r="M722" s="13">
        <v>1521</v>
      </c>
      <c r="N722" s="13">
        <v>76</v>
      </c>
      <c r="O722" s="15"/>
      <c r="P722" s="6">
        <v>40651.457071759258</v>
      </c>
      <c r="Q722" s="16" t="s">
        <v>496</v>
      </c>
      <c r="R722" s="17" t="s">
        <v>4017</v>
      </c>
      <c r="S722" s="11" t="s">
        <v>4018</v>
      </c>
      <c r="T722" s="12"/>
      <c r="U722" s="10" t="str">
        <f>HYPERLINK("https://pbs.twimg.com/profile_images/973159411047895041/6UpZ984C.jpg","View")</f>
        <v>View</v>
      </c>
    </row>
    <row r="723" spans="1:21" ht="51">
      <c r="A723" s="6">
        <v>43426.426099537042</v>
      </c>
      <c r="B723" s="7" t="str">
        <f>HYPERLINK("https://twitter.com/javier_merino","@javier_merino")</f>
        <v>@javier_merino</v>
      </c>
      <c r="C723" s="8" t="s">
        <v>1843</v>
      </c>
      <c r="D723" s="9" t="s">
        <v>1844</v>
      </c>
      <c r="E723" s="10" t="str">
        <f>HYPERLINK("https://twitter.com/javier_merino/status/1065533741592915968","1065533741592915968")</f>
        <v>1065533741592915968</v>
      </c>
      <c r="F723" s="11" t="s">
        <v>1845</v>
      </c>
      <c r="G723" s="12"/>
      <c r="H723" s="12"/>
      <c r="I723" s="13">
        <v>6</v>
      </c>
      <c r="J723" s="13">
        <v>13</v>
      </c>
      <c r="K723" s="14" t="str">
        <f>HYPERLINK("http://twitter.com/download/android","Twitter for Android")</f>
        <v>Twitter for Android</v>
      </c>
      <c r="L723" s="13">
        <v>2232</v>
      </c>
      <c r="M723" s="13">
        <v>1179</v>
      </c>
      <c r="N723" s="13">
        <v>68</v>
      </c>
      <c r="O723" s="15"/>
      <c r="P723" s="6">
        <v>40101.762858796297</v>
      </c>
      <c r="Q723" s="16" t="s">
        <v>1846</v>
      </c>
      <c r="R723" s="17" t="s">
        <v>1847</v>
      </c>
      <c r="S723" s="12"/>
      <c r="T723" s="12"/>
      <c r="U723" s="10" t="str">
        <f>HYPERLINK("https://pbs.twimg.com/profile_images/1048572203002994688/ExhCfL4j.jpg","View")</f>
        <v>View</v>
      </c>
    </row>
    <row r="724" spans="1:21" ht="20.399999999999999">
      <c r="A724" s="6">
        <v>43426.425555555557</v>
      </c>
      <c r="B724" s="7" t="str">
        <f>HYPERLINK("https://twitter.com/Cs_Tenerife","@Cs_Tenerife")</f>
        <v>@Cs_Tenerife</v>
      </c>
      <c r="C724" s="8" t="s">
        <v>342</v>
      </c>
      <c r="D724" s="9" t="s">
        <v>1848</v>
      </c>
      <c r="E724" s="10" t="str">
        <f>HYPERLINK("https://twitter.com/Cs_Tenerife/status/1065533544221556736","1065533544221556736")</f>
        <v>1065533544221556736</v>
      </c>
      <c r="F724" s="11" t="s">
        <v>1849</v>
      </c>
      <c r="G724" s="12"/>
      <c r="H724" s="12"/>
      <c r="I724" s="13">
        <v>0</v>
      </c>
      <c r="J724" s="13">
        <v>1</v>
      </c>
      <c r="K724" s="14" t="str">
        <f>HYPERLINK("http://twitter.com","Twitter Web Client")</f>
        <v>Twitter Web Client</v>
      </c>
      <c r="L724" s="13">
        <v>308</v>
      </c>
      <c r="M724" s="13">
        <v>409</v>
      </c>
      <c r="N724" s="13">
        <v>2</v>
      </c>
      <c r="O724" s="15"/>
      <c r="P724" s="6">
        <v>43006.477256944447</v>
      </c>
      <c r="Q724" s="16" t="s">
        <v>208</v>
      </c>
      <c r="R724" s="17" t="s">
        <v>345</v>
      </c>
      <c r="S724" s="11" t="s">
        <v>346</v>
      </c>
      <c r="T724" s="12"/>
      <c r="U724" s="10" t="str">
        <f>HYPERLINK("https://pbs.twimg.com/profile_images/913334716803186688/AFUK2T9e.jpg","View")</f>
        <v>View</v>
      </c>
    </row>
    <row r="725" spans="1:21" ht="30.6">
      <c r="A725" s="6">
        <v>43426.421979166669</v>
      </c>
      <c r="B725" s="7" t="str">
        <f>HYPERLINK("https://twitter.com/SkaRepublik","@SkaRepublik")</f>
        <v>@SkaRepublik</v>
      </c>
      <c r="C725" s="8" t="s">
        <v>1850</v>
      </c>
      <c r="D725" s="9" t="s">
        <v>1851</v>
      </c>
      <c r="E725" s="10" t="str">
        <f>HYPERLINK("https://twitter.com/SkaRepublik/status/1065532248089395200","1065532248089395200")</f>
        <v>1065532248089395200</v>
      </c>
      <c r="F725" s="12"/>
      <c r="G725" s="11" t="s">
        <v>1852</v>
      </c>
      <c r="H725" s="12"/>
      <c r="I725" s="13">
        <v>0</v>
      </c>
      <c r="J725" s="13">
        <v>1</v>
      </c>
      <c r="K725" s="14" t="str">
        <f t="shared" ref="K725:K727" si="145">HYPERLINK("http://twitter.com/download/android","Twitter for Android")</f>
        <v>Twitter for Android</v>
      </c>
      <c r="L725" s="13">
        <v>1355</v>
      </c>
      <c r="M725" s="13">
        <v>3032</v>
      </c>
      <c r="N725" s="13">
        <v>14</v>
      </c>
      <c r="O725" s="15"/>
      <c r="P725" s="6">
        <v>40887.627638888887</v>
      </c>
      <c r="Q725" s="16" t="s">
        <v>1853</v>
      </c>
      <c r="R725" s="17" t="s">
        <v>1854</v>
      </c>
      <c r="S725" s="12"/>
      <c r="T725" s="12"/>
      <c r="U725" s="10" t="str">
        <f>HYPERLINK("https://pbs.twimg.com/profile_images/1057279969104195584/4HUzRx1F.jpg","View")</f>
        <v>View</v>
      </c>
    </row>
    <row r="726" spans="1:21" ht="20.399999999999999">
      <c r="A726" s="6">
        <v>43426.420925925922</v>
      </c>
      <c r="B726" s="7" t="str">
        <f>HYPERLINK("https://twitter.com/manolinelreal","@manolinelreal")</f>
        <v>@manolinelreal</v>
      </c>
      <c r="C726" s="8" t="s">
        <v>1666</v>
      </c>
      <c r="D726" s="9" t="s">
        <v>1855</v>
      </c>
      <c r="E726" s="10" t="str">
        <f>HYPERLINK("https://twitter.com/manolinelreal/status/1065531865497518081","1065531865497518081")</f>
        <v>1065531865497518081</v>
      </c>
      <c r="F726" s="11" t="s">
        <v>1856</v>
      </c>
      <c r="G726" s="12"/>
      <c r="H726" s="12"/>
      <c r="I726" s="13">
        <v>0</v>
      </c>
      <c r="J726" s="13">
        <v>0</v>
      </c>
      <c r="K726" s="14" t="str">
        <f t="shared" si="145"/>
        <v>Twitter for Android</v>
      </c>
      <c r="L726" s="13">
        <v>2409</v>
      </c>
      <c r="M726" s="13">
        <v>2339</v>
      </c>
      <c r="N726" s="13">
        <v>22</v>
      </c>
      <c r="O726" s="15"/>
      <c r="P726" s="6">
        <v>41276.882627314815</v>
      </c>
      <c r="Q726" s="12"/>
      <c r="R726" s="17" t="s">
        <v>1857</v>
      </c>
      <c r="S726" s="12"/>
      <c r="T726" s="12"/>
      <c r="U726" s="10" t="str">
        <f>HYPERLINK("https://pbs.twimg.com/profile_images/1060287423475867649/Ko1nWlY_.jpg","View")</f>
        <v>View</v>
      </c>
    </row>
    <row r="727" spans="1:21" ht="30.6">
      <c r="A727" s="6">
        <v>43426.42019675926</v>
      </c>
      <c r="B727" s="7" t="str">
        <f>HYPERLINK("https://twitter.com/AnaMara50947570","@AnaMara50947570")</f>
        <v>@AnaMara50947570</v>
      </c>
      <c r="C727" s="8" t="s">
        <v>4032</v>
      </c>
      <c r="D727" s="9" t="s">
        <v>4034</v>
      </c>
      <c r="E727" s="10" t="str">
        <f>HYPERLINK("https://twitter.com/AnaMara50947570/status/1065531603135459333","1065531603135459333")</f>
        <v>1065531603135459333</v>
      </c>
      <c r="F727" s="11" t="s">
        <v>4036</v>
      </c>
      <c r="G727" s="12"/>
      <c r="H727" s="12"/>
      <c r="I727" s="13">
        <v>3</v>
      </c>
      <c r="J727" s="13">
        <v>5</v>
      </c>
      <c r="K727" s="14" t="str">
        <f t="shared" si="145"/>
        <v>Twitter for Android</v>
      </c>
      <c r="L727" s="13">
        <v>19</v>
      </c>
      <c r="M727" s="13">
        <v>137</v>
      </c>
      <c r="N727" s="13">
        <v>0</v>
      </c>
      <c r="O727" s="15"/>
      <c r="P727" s="6">
        <v>43362.641562500001</v>
      </c>
      <c r="Q727" s="12"/>
      <c r="R727" s="17" t="s">
        <v>4039</v>
      </c>
      <c r="S727" s="12"/>
      <c r="T727" s="12"/>
      <c r="U727" s="10" t="str">
        <f>HYPERLINK("https://pbs.twimg.com/profile_images/1042460164408979456/X_hrOXWk.jpg","View")</f>
        <v>View</v>
      </c>
    </row>
    <row r="728" spans="1:21" ht="40.799999999999997">
      <c r="A728" s="6">
        <v>43426.41805555555</v>
      </c>
      <c r="B728" s="7" t="str">
        <f>HYPERLINK("https://twitter.com/bitMomentum","@bitMomentum")</f>
        <v>@bitMomentum</v>
      </c>
      <c r="C728" s="8" t="s">
        <v>706</v>
      </c>
      <c r="D728" s="9" t="s">
        <v>1860</v>
      </c>
      <c r="E728" s="10" t="str">
        <f>HYPERLINK("https://twitter.com/bitMomentum/status/1065530825989636096","1065530825989636096")</f>
        <v>1065530825989636096</v>
      </c>
      <c r="F728" s="12"/>
      <c r="G728" s="12"/>
      <c r="H728" s="12"/>
      <c r="I728" s="13">
        <v>0</v>
      </c>
      <c r="J728" s="13">
        <v>0</v>
      </c>
      <c r="K728" s="14" t="str">
        <f>HYPERLINK("http://www.bitmomentum.com","bitMomentum Bot")</f>
        <v>bitMomentum Bot</v>
      </c>
      <c r="L728" s="13">
        <v>10132</v>
      </c>
      <c r="M728" s="13">
        <v>1060</v>
      </c>
      <c r="N728" s="13">
        <v>262</v>
      </c>
      <c r="O728" s="15"/>
      <c r="P728" s="6">
        <v>41608.667511574073</v>
      </c>
      <c r="Q728" s="12"/>
      <c r="R728" s="17" t="s">
        <v>708</v>
      </c>
      <c r="S728" s="11" t="s">
        <v>709</v>
      </c>
      <c r="T728" s="12"/>
      <c r="U728" s="10" t="str">
        <f>HYPERLINK("https://pbs.twimg.com/profile_images/378800000862185241/20ij2H3u.png","View")</f>
        <v>View</v>
      </c>
    </row>
    <row r="729" spans="1:21" ht="30.6">
      <c r="A729" s="6">
        <v>43426.417465277773</v>
      </c>
      <c r="B729" s="7" t="str">
        <f>HYPERLINK("https://twitter.com/edukabak","@edukabak")</f>
        <v>@edukabak</v>
      </c>
      <c r="C729" s="8" t="s">
        <v>1865</v>
      </c>
      <c r="D729" s="9" t="s">
        <v>1866</v>
      </c>
      <c r="E729" s="10" t="str">
        <f>HYPERLINK("https://twitter.com/edukabak/status/1065530614764511232","1065530614764511232")</f>
        <v>1065530614764511232</v>
      </c>
      <c r="F729" s="12"/>
      <c r="G729" s="12"/>
      <c r="H729" s="12"/>
      <c r="I729" s="13">
        <v>30</v>
      </c>
      <c r="J729" s="13">
        <v>54</v>
      </c>
      <c r="K729" s="14" t="str">
        <f>HYPERLINK("http://twitter.com/download/android","Twitter for Android")</f>
        <v>Twitter for Android</v>
      </c>
      <c r="L729" s="13">
        <v>1840</v>
      </c>
      <c r="M729" s="13">
        <v>668</v>
      </c>
      <c r="N729" s="13">
        <v>37</v>
      </c>
      <c r="O729" s="15"/>
      <c r="P729" s="6">
        <v>40571.655497685184</v>
      </c>
      <c r="Q729" s="16" t="s">
        <v>1868</v>
      </c>
      <c r="R729" s="17" t="s">
        <v>1869</v>
      </c>
      <c r="S729" s="11" t="s">
        <v>1870</v>
      </c>
      <c r="T729" s="12"/>
      <c r="U729" s="10" t="str">
        <f>HYPERLINK("https://pbs.twimg.com/profile_images/862746729657098240/uVcepbEF.jpg","View")</f>
        <v>View</v>
      </c>
    </row>
    <row r="730" spans="1:21" ht="40.799999999999997">
      <c r="A730" s="6">
        <v>43426.417361111111</v>
      </c>
      <c r="B730" s="7" t="str">
        <f>HYPERLINK("https://twitter.com/bitMomentum","@bitMomentum")</f>
        <v>@bitMomentum</v>
      </c>
      <c r="C730" s="8" t="s">
        <v>706</v>
      </c>
      <c r="D730" s="9" t="s">
        <v>1871</v>
      </c>
      <c r="E730" s="10" t="str">
        <f>HYPERLINK("https://twitter.com/bitMomentum/status/1065530574293647360","1065530574293647360")</f>
        <v>1065530574293647360</v>
      </c>
      <c r="F730" s="12"/>
      <c r="G730" s="12"/>
      <c r="H730" s="12"/>
      <c r="I730" s="13">
        <v>0</v>
      </c>
      <c r="J730" s="13">
        <v>0</v>
      </c>
      <c r="K730" s="14" t="str">
        <f>HYPERLINK("http://www.bitmomentum.com","bitMomentum Bot")</f>
        <v>bitMomentum Bot</v>
      </c>
      <c r="L730" s="13">
        <v>10132</v>
      </c>
      <c r="M730" s="13">
        <v>1060</v>
      </c>
      <c r="N730" s="13">
        <v>262</v>
      </c>
      <c r="O730" s="15"/>
      <c r="P730" s="6">
        <v>41608.667511574073</v>
      </c>
      <c r="Q730" s="12"/>
      <c r="R730" s="17" t="s">
        <v>708</v>
      </c>
      <c r="S730" s="11" t="s">
        <v>709</v>
      </c>
      <c r="T730" s="12"/>
      <c r="U730" s="10" t="str">
        <f>HYPERLINK("https://pbs.twimg.com/profile_images/378800000862185241/20ij2H3u.png","View")</f>
        <v>View</v>
      </c>
    </row>
    <row r="731" spans="1:21" ht="40.799999999999997">
      <c r="A731" s="6">
        <v>43426.414837962962</v>
      </c>
      <c r="B731" s="7" t="str">
        <f>HYPERLINK("https://twitter.com/mvegafierro","@mvegafierro")</f>
        <v>@mvegafierro</v>
      </c>
      <c r="C731" s="8" t="s">
        <v>4053</v>
      </c>
      <c r="D731" s="9" t="s">
        <v>4054</v>
      </c>
      <c r="E731" s="10" t="str">
        <f>HYPERLINK("https://twitter.com/mvegafierro/status/1065529661499817985","1065529661499817985")</f>
        <v>1065529661499817985</v>
      </c>
      <c r="F731" s="12"/>
      <c r="G731" s="12"/>
      <c r="H731" s="12"/>
      <c r="I731" s="13">
        <v>0</v>
      </c>
      <c r="J731" s="13">
        <v>2</v>
      </c>
      <c r="K731" s="14" t="str">
        <f>HYPERLINK("http://twitter.com","Twitter Web Client")</f>
        <v>Twitter Web Client</v>
      </c>
      <c r="L731" s="13">
        <v>176</v>
      </c>
      <c r="M731" s="13">
        <v>331</v>
      </c>
      <c r="N731" s="13">
        <v>9</v>
      </c>
      <c r="O731" s="15"/>
      <c r="P731" s="6">
        <v>40148.642407407409</v>
      </c>
      <c r="Q731" s="16" t="s">
        <v>4057</v>
      </c>
      <c r="R731" s="17" t="s">
        <v>4058</v>
      </c>
      <c r="S731" s="11" t="s">
        <v>4059</v>
      </c>
      <c r="T731" s="12"/>
      <c r="U731" s="10" t="str">
        <f>HYPERLINK("https://pbs.twimg.com/profile_images/620921563894915072/XtdSnyhY.jpg","View")</f>
        <v>View</v>
      </c>
    </row>
    <row r="732" spans="1:21" ht="30.6">
      <c r="A732" s="6">
        <v>43426.414131944446</v>
      </c>
      <c r="B732" s="7" t="str">
        <f>HYPERLINK("https://twitter.com/UnVampiroAndalu","@UnVampiroAndalu")</f>
        <v>@UnVampiroAndalu</v>
      </c>
      <c r="C732" s="8" t="s">
        <v>4061</v>
      </c>
      <c r="D732" s="9" t="s">
        <v>4062</v>
      </c>
      <c r="E732" s="10" t="str">
        <f>HYPERLINK("https://twitter.com/UnVampiroAndalu/status/1065529406184202240","1065529406184202240")</f>
        <v>1065529406184202240</v>
      </c>
      <c r="F732" s="12"/>
      <c r="G732" s="12"/>
      <c r="H732" s="12"/>
      <c r="I732" s="13">
        <v>0</v>
      </c>
      <c r="J732" s="13">
        <v>4</v>
      </c>
      <c r="K732" s="14" t="str">
        <f t="shared" ref="K732:K738" si="146">HYPERLINK("http://twitter.com/download/android","Twitter for Android")</f>
        <v>Twitter for Android</v>
      </c>
      <c r="L732" s="13">
        <v>3089</v>
      </c>
      <c r="M732" s="13">
        <v>345</v>
      </c>
      <c r="N732" s="13">
        <v>28</v>
      </c>
      <c r="O732" s="15"/>
      <c r="P732" s="6">
        <v>41662.02584490741</v>
      </c>
      <c r="Q732" s="16" t="s">
        <v>4063</v>
      </c>
      <c r="R732" s="17" t="s">
        <v>4064</v>
      </c>
      <c r="S732" s="12"/>
      <c r="T732" s="12"/>
      <c r="U732" s="10" t="str">
        <f>HYPERLINK("https://pbs.twimg.com/profile_images/1055038699879235586/lcSRB00S.jpg","View")</f>
        <v>View</v>
      </c>
    </row>
    <row r="733" spans="1:21" ht="20.399999999999999">
      <c r="A733" s="6">
        <v>43426.413217592592</v>
      </c>
      <c r="B733" s="7" t="str">
        <f>HYPERLINK("https://twitter.com/Paco_Pico27","@Paco_Pico27")</f>
        <v>@Paco_Pico27</v>
      </c>
      <c r="C733" s="8" t="s">
        <v>4066</v>
      </c>
      <c r="D733" s="9" t="s">
        <v>4067</v>
      </c>
      <c r="E733" s="10" t="str">
        <f>HYPERLINK("https://twitter.com/Paco_Pico27/status/1065529075404558336","1065529075404558336")</f>
        <v>1065529075404558336</v>
      </c>
      <c r="F733" s="11" t="s">
        <v>557</v>
      </c>
      <c r="G733" s="12"/>
      <c r="H733" s="12"/>
      <c r="I733" s="13">
        <v>0</v>
      </c>
      <c r="J733" s="13">
        <v>0</v>
      </c>
      <c r="K733" s="14" t="str">
        <f t="shared" si="146"/>
        <v>Twitter for Android</v>
      </c>
      <c r="L733" s="13">
        <v>465</v>
      </c>
      <c r="M733" s="13">
        <v>857</v>
      </c>
      <c r="N733" s="13">
        <v>0</v>
      </c>
      <c r="O733" s="15"/>
      <c r="P733" s="6">
        <v>41043.761145833334</v>
      </c>
      <c r="Q733" s="16" t="s">
        <v>496</v>
      </c>
      <c r="R733" s="17" t="s">
        <v>4069</v>
      </c>
      <c r="S733" s="12"/>
      <c r="T733" s="12"/>
      <c r="U733" s="10" t="str">
        <f>HYPERLINK("https://pbs.twimg.com/profile_images/711077803148632064/3ryoGf1J.jpg","View")</f>
        <v>View</v>
      </c>
    </row>
    <row r="734" spans="1:21" ht="20.399999999999999">
      <c r="A734" s="6">
        <v>43426.412766203706</v>
      </c>
      <c r="B734" s="7" t="str">
        <f>HYPERLINK("https://twitter.com/Joseph_Messser","@Joseph_Messser")</f>
        <v>@Joseph_Messser</v>
      </c>
      <c r="C734" s="8" t="s">
        <v>4070</v>
      </c>
      <c r="D734" s="9" t="s">
        <v>4071</v>
      </c>
      <c r="E734" s="10" t="str">
        <f>HYPERLINK("https://twitter.com/Joseph_Messser/status/1065528909918285824","1065528909918285824")</f>
        <v>1065528909918285824</v>
      </c>
      <c r="F734" s="12"/>
      <c r="G734" s="12"/>
      <c r="H734" s="12"/>
      <c r="I734" s="13">
        <v>0</v>
      </c>
      <c r="J734" s="13">
        <v>1</v>
      </c>
      <c r="K734" s="14" t="str">
        <f t="shared" si="146"/>
        <v>Twitter for Android</v>
      </c>
      <c r="L734" s="13">
        <v>176</v>
      </c>
      <c r="M734" s="13">
        <v>486</v>
      </c>
      <c r="N734" s="13">
        <v>5</v>
      </c>
      <c r="O734" s="15"/>
      <c r="P734" s="6">
        <v>42136.764502314814</v>
      </c>
      <c r="Q734" s="12"/>
      <c r="R734" s="17" t="s">
        <v>4073</v>
      </c>
      <c r="S734" s="12"/>
      <c r="T734" s="12"/>
      <c r="U734" s="10" t="str">
        <f>HYPERLINK("https://pbs.twimg.com/profile_images/1022934436105662466/kXM7K6Pf.jpg","View")</f>
        <v>View</v>
      </c>
    </row>
    <row r="735" spans="1:21" ht="30.6">
      <c r="A735" s="6">
        <v>43426.412523148145</v>
      </c>
      <c r="B735" s="7" t="str">
        <f>HYPERLINK("https://twitter.com/joana_crj","@joana_crj")</f>
        <v>@joana_crj</v>
      </c>
      <c r="C735" s="8" t="s">
        <v>4074</v>
      </c>
      <c r="D735" s="9" t="s">
        <v>4075</v>
      </c>
      <c r="E735" s="10" t="str">
        <f>HYPERLINK("https://twitter.com/joana_crj/status/1065528823637258240","1065528823637258240")</f>
        <v>1065528823637258240</v>
      </c>
      <c r="F735" s="12"/>
      <c r="G735" s="12"/>
      <c r="H735" s="12"/>
      <c r="I735" s="13">
        <v>0</v>
      </c>
      <c r="J735" s="13">
        <v>0</v>
      </c>
      <c r="K735" s="14" t="str">
        <f t="shared" si="146"/>
        <v>Twitter for Android</v>
      </c>
      <c r="L735" s="13">
        <v>403</v>
      </c>
      <c r="M735" s="13">
        <v>340</v>
      </c>
      <c r="N735" s="13">
        <v>1</v>
      </c>
      <c r="O735" s="15"/>
      <c r="P735" s="6">
        <v>40121.841527777782</v>
      </c>
      <c r="Q735" s="12"/>
      <c r="R735" s="17" t="s">
        <v>4078</v>
      </c>
      <c r="S735" s="12"/>
      <c r="T735" s="12"/>
      <c r="U735" s="10" t="str">
        <f>HYPERLINK("https://pbs.twimg.com/profile_images/1065253825689337856/B1AP_OIq.jpg","View")</f>
        <v>View</v>
      </c>
    </row>
    <row r="736" spans="1:21" ht="40.799999999999997">
      <c r="A736" s="6">
        <v>43426.410914351851</v>
      </c>
      <c r="B736" s="7" t="str">
        <f>HYPERLINK("https://twitter.com/JuanPorcel4","@JuanPorcel4")</f>
        <v>@JuanPorcel4</v>
      </c>
      <c r="C736" s="8" t="s">
        <v>4079</v>
      </c>
      <c r="D736" s="9" t="s">
        <v>4080</v>
      </c>
      <c r="E736" s="10" t="str">
        <f>HYPERLINK("https://twitter.com/JuanPorcel4/status/1065528240410947584","1065528240410947584")</f>
        <v>1065528240410947584</v>
      </c>
      <c r="F736" s="12"/>
      <c r="G736" s="12"/>
      <c r="H736" s="12"/>
      <c r="I736" s="13">
        <v>7</v>
      </c>
      <c r="J736" s="13">
        <v>14</v>
      </c>
      <c r="K736" s="14" t="str">
        <f t="shared" si="146"/>
        <v>Twitter for Android</v>
      </c>
      <c r="L736" s="13">
        <v>3084</v>
      </c>
      <c r="M736" s="13">
        <v>2958</v>
      </c>
      <c r="N736" s="13">
        <v>11</v>
      </c>
      <c r="O736" s="15"/>
      <c r="P736" s="6">
        <v>42017.493437500001</v>
      </c>
      <c r="Q736" s="12"/>
      <c r="R736" s="17" t="s">
        <v>4083</v>
      </c>
      <c r="S736" s="12"/>
      <c r="T736" s="12"/>
      <c r="U736" s="10" t="str">
        <f>HYPERLINK("https://pbs.twimg.com/profile_images/690614624547397636/n_PV23Tm.jpg","View")</f>
        <v>View</v>
      </c>
    </row>
    <row r="737" spans="1:21" ht="71.400000000000006">
      <c r="A737" s="6">
        <v>43426.409456018519</v>
      </c>
      <c r="B737" s="7" t="str">
        <f>HYPERLINK("https://twitter.com/Fsmariajose","@Fsmariajose")</f>
        <v>@Fsmariajose</v>
      </c>
      <c r="C737" s="8" t="s">
        <v>4085</v>
      </c>
      <c r="D737" s="9" t="s">
        <v>4086</v>
      </c>
      <c r="E737" s="10" t="str">
        <f>HYPERLINK("https://twitter.com/Fsmariajose/status/1065527708992589826","1065527708992589826")</f>
        <v>1065527708992589826</v>
      </c>
      <c r="F737" s="11" t="s">
        <v>4087</v>
      </c>
      <c r="G737" s="11" t="s">
        <v>4088</v>
      </c>
      <c r="H737" s="12"/>
      <c r="I737" s="13">
        <v>1</v>
      </c>
      <c r="J737" s="13">
        <v>4</v>
      </c>
      <c r="K737" s="14" t="str">
        <f t="shared" si="146"/>
        <v>Twitter for Android</v>
      </c>
      <c r="L737" s="13">
        <v>393</v>
      </c>
      <c r="M737" s="13">
        <v>729</v>
      </c>
      <c r="N737" s="13">
        <v>5</v>
      </c>
      <c r="O737" s="15"/>
      <c r="P737" s="6">
        <v>41823.984988425924</v>
      </c>
      <c r="Q737" s="12"/>
      <c r="R737" s="17" t="s">
        <v>4089</v>
      </c>
      <c r="S737" s="12"/>
      <c r="T737" s="12"/>
      <c r="U737" s="10" t="str">
        <f>HYPERLINK("https://pbs.twimg.com/profile_images/834801511247011841/7yfaevVi.jpg","View")</f>
        <v>View</v>
      </c>
    </row>
    <row r="738" spans="1:21" ht="51">
      <c r="A738" s="6">
        <v>43426.409351851849</v>
      </c>
      <c r="B738" s="7" t="str">
        <f>HYPERLINK("https://twitter.com/sedlr_","@sedlr_")</f>
        <v>@sedlr_</v>
      </c>
      <c r="C738" s="8" t="s">
        <v>1423</v>
      </c>
      <c r="D738" s="9" t="s">
        <v>4091</v>
      </c>
      <c r="E738" s="10" t="str">
        <f>HYPERLINK("https://twitter.com/sedlr_/status/1065527673844310016","1065527673844310016")</f>
        <v>1065527673844310016</v>
      </c>
      <c r="F738" s="12"/>
      <c r="G738" s="11" t="s">
        <v>4092</v>
      </c>
      <c r="H738" s="12"/>
      <c r="I738" s="13">
        <v>18</v>
      </c>
      <c r="J738" s="13">
        <v>33</v>
      </c>
      <c r="K738" s="14" t="str">
        <f t="shared" si="146"/>
        <v>Twitter for Android</v>
      </c>
      <c r="L738" s="13">
        <v>7672</v>
      </c>
      <c r="M738" s="13">
        <v>7329</v>
      </c>
      <c r="N738" s="13">
        <v>33</v>
      </c>
      <c r="O738" s="15"/>
      <c r="P738" s="6">
        <v>41250.693912037037</v>
      </c>
      <c r="Q738" s="16" t="s">
        <v>759</v>
      </c>
      <c r="R738" s="19"/>
      <c r="S738" s="12"/>
      <c r="T738" s="12"/>
      <c r="U738" s="10" t="str">
        <f>HYPERLINK("https://pbs.twimg.com/profile_images/1026984752270782464/dquFa8_K.jpg","View")</f>
        <v>View</v>
      </c>
    </row>
    <row r="739" spans="1:21" ht="20.399999999999999">
      <c r="A739" s="6">
        <v>43426.408506944441</v>
      </c>
      <c r="B739" s="7" t="str">
        <f>HYPERLINK("https://twitter.com/Manuel_Huerga","@Manuel_Huerga")</f>
        <v>@Manuel_Huerga</v>
      </c>
      <c r="C739" s="8" t="s">
        <v>4094</v>
      </c>
      <c r="D739" s="9" t="s">
        <v>4095</v>
      </c>
      <c r="E739" s="10" t="str">
        <f>HYPERLINK("https://twitter.com/Manuel_Huerga/status/1065527368821940225","1065527368821940225")</f>
        <v>1065527368821940225</v>
      </c>
      <c r="F739" s="11" t="s">
        <v>4096</v>
      </c>
      <c r="G739" s="12"/>
      <c r="H739" s="12"/>
      <c r="I739" s="13">
        <v>0</v>
      </c>
      <c r="J739" s="13">
        <v>0</v>
      </c>
      <c r="K739" s="14" t="str">
        <f>HYPERLINK("http://www.facebook.com/twitter","Facebook")</f>
        <v>Facebook</v>
      </c>
      <c r="L739" s="13">
        <v>5225</v>
      </c>
      <c r="M739" s="13">
        <v>2135</v>
      </c>
      <c r="N739" s="13">
        <v>108</v>
      </c>
      <c r="O739" s="15"/>
      <c r="P739" s="6">
        <v>40244.535763888889</v>
      </c>
      <c r="Q739" s="16" t="s">
        <v>4098</v>
      </c>
      <c r="R739" s="17" t="s">
        <v>4099</v>
      </c>
      <c r="S739" s="11" t="s">
        <v>4100</v>
      </c>
      <c r="T739" s="12"/>
      <c r="U739" s="10" t="str">
        <f>HYPERLINK("https://pbs.twimg.com/profile_images/1669966433/IMG_0705.JPG","View")</f>
        <v>View</v>
      </c>
    </row>
    <row r="740" spans="1:21" ht="30.6">
      <c r="A740" s="6">
        <v>43426.408368055556</v>
      </c>
      <c r="B740" s="7" t="str">
        <f>HYPERLINK("https://twitter.com/Cs_Bailen","@Cs_Bailen")</f>
        <v>@Cs_Bailen</v>
      </c>
      <c r="C740" s="8" t="s">
        <v>1874</v>
      </c>
      <c r="D740" s="9" t="s">
        <v>1875</v>
      </c>
      <c r="E740" s="10" t="str">
        <f>HYPERLINK("https://twitter.com/Cs_Bailen/status/1065527314715430912","1065527314715430912")</f>
        <v>1065527314715430912</v>
      </c>
      <c r="F740" s="11" t="s">
        <v>1876</v>
      </c>
      <c r="G740" s="11" t="s">
        <v>1877</v>
      </c>
      <c r="H740" s="12"/>
      <c r="I740" s="13">
        <v>1</v>
      </c>
      <c r="J740" s="13">
        <v>2</v>
      </c>
      <c r="K740" s="14" t="str">
        <f>HYPERLINK("http://twitter.com/download/android","Twitter for Android")</f>
        <v>Twitter for Android</v>
      </c>
      <c r="L740" s="13">
        <v>1538</v>
      </c>
      <c r="M740" s="13">
        <v>4396</v>
      </c>
      <c r="N740" s="13">
        <v>3</v>
      </c>
      <c r="O740" s="15"/>
      <c r="P740" s="6">
        <v>42759.510555555556</v>
      </c>
      <c r="Q740" s="16" t="s">
        <v>1878</v>
      </c>
      <c r="R740" s="17" t="s">
        <v>1879</v>
      </c>
      <c r="S740" s="11" t="s">
        <v>1880</v>
      </c>
      <c r="T740" s="12"/>
      <c r="U740" s="10" t="str">
        <f>HYPERLINK("https://pbs.twimg.com/profile_images/899214962060664833/lOTfJI2t.jpg","View")</f>
        <v>View</v>
      </c>
    </row>
    <row r="741" spans="1:21" ht="20.399999999999999">
      <c r="A741" s="6">
        <v>43426.408263888894</v>
      </c>
      <c r="B741" s="7" t="str">
        <f>HYPERLINK("https://twitter.com/elhuron2","@elhuron2")</f>
        <v>@elhuron2</v>
      </c>
      <c r="C741" s="8" t="s">
        <v>4103</v>
      </c>
      <c r="D741" s="9" t="s">
        <v>4104</v>
      </c>
      <c r="E741" s="10" t="str">
        <f>HYPERLINK("https://twitter.com/elhuron2/status/1065527278979796992","1065527278979796992")</f>
        <v>1065527278979796992</v>
      </c>
      <c r="F741" s="11" t="s">
        <v>4106</v>
      </c>
      <c r="G741" s="12"/>
      <c r="H741" s="12"/>
      <c r="I741" s="13">
        <v>0</v>
      </c>
      <c r="J741" s="13">
        <v>0</v>
      </c>
      <c r="K741" s="14" t="str">
        <f>HYPERLINK("https://www.google.com/","Google")</f>
        <v>Google</v>
      </c>
      <c r="L741" s="13">
        <v>408</v>
      </c>
      <c r="M741" s="13">
        <v>496</v>
      </c>
      <c r="N741" s="13">
        <v>6</v>
      </c>
      <c r="O741" s="15"/>
      <c r="P741" s="6">
        <v>41869.952997685185</v>
      </c>
      <c r="Q741" s="16" t="s">
        <v>4109</v>
      </c>
      <c r="R741" s="17" t="s">
        <v>4110</v>
      </c>
      <c r="S741" s="11" t="s">
        <v>4111</v>
      </c>
      <c r="T741" s="12"/>
      <c r="U741" s="10" t="str">
        <f>HYPERLINK("https://pbs.twimg.com/profile_images/803176150629515264/heYiZScX.jpg","View")</f>
        <v>View</v>
      </c>
    </row>
    <row r="742" spans="1:21" ht="20.399999999999999">
      <c r="A742" s="6">
        <v>43426.405555555553</v>
      </c>
      <c r="B742" s="7" t="str">
        <f>HYPERLINK("https://twitter.com/BobaFettida","@BobaFettida")</f>
        <v>@BobaFettida</v>
      </c>
      <c r="C742" s="8" t="s">
        <v>1883</v>
      </c>
      <c r="D742" s="9" t="s">
        <v>1884</v>
      </c>
      <c r="E742" s="10" t="str">
        <f>HYPERLINK("https://twitter.com/BobaFettida/status/1065526297357627397","1065526297357627397")</f>
        <v>1065526297357627397</v>
      </c>
      <c r="F742" s="12"/>
      <c r="G742" s="11" t="s">
        <v>1885</v>
      </c>
      <c r="H742" s="12"/>
      <c r="I742" s="13">
        <v>0</v>
      </c>
      <c r="J742" s="13">
        <v>0</v>
      </c>
      <c r="K742" s="14" t="str">
        <f>HYPERLINK("http://twitter.com/download/android","Twitter for Android")</f>
        <v>Twitter for Android</v>
      </c>
      <c r="L742" s="13">
        <v>134</v>
      </c>
      <c r="M742" s="13">
        <v>239</v>
      </c>
      <c r="N742" s="13">
        <v>0</v>
      </c>
      <c r="O742" s="15"/>
      <c r="P742" s="6">
        <v>40293.498726851853</v>
      </c>
      <c r="Q742" s="16" t="s">
        <v>1888</v>
      </c>
      <c r="R742" s="17" t="s">
        <v>1889</v>
      </c>
      <c r="S742" s="12"/>
      <c r="T742" s="12"/>
      <c r="U742" s="10" t="str">
        <f>HYPERLINK("https://pbs.twimg.com/profile_images/991764861532233728/u7NMEQDm.jpg","View")</f>
        <v>View</v>
      </c>
    </row>
    <row r="743" spans="1:21" ht="51">
      <c r="A743" s="6">
        <v>43426.402974537035</v>
      </c>
      <c r="B743" s="7" t="str">
        <f>HYPERLINK("https://twitter.com/CsRegionMurcia","@CsRegionMurcia")</f>
        <v>@CsRegionMurcia</v>
      </c>
      <c r="C743" s="8" t="s">
        <v>825</v>
      </c>
      <c r="D743" s="9" t="s">
        <v>1891</v>
      </c>
      <c r="E743" s="10" t="str">
        <f>HYPERLINK("https://twitter.com/CsRegionMurcia/status/1065525360132014081","1065525360132014081")</f>
        <v>1065525360132014081</v>
      </c>
      <c r="F743" s="12"/>
      <c r="G743" s="11" t="s">
        <v>1893</v>
      </c>
      <c r="H743" s="12"/>
      <c r="I743" s="13">
        <v>10</v>
      </c>
      <c r="J743" s="13">
        <v>10</v>
      </c>
      <c r="K743" s="14" t="str">
        <f>HYPERLINK("https://www.hootsuite.com","Hootsuite Inc.")</f>
        <v>Hootsuite Inc.</v>
      </c>
      <c r="L743" s="13">
        <v>6225</v>
      </c>
      <c r="M743" s="13">
        <v>1108</v>
      </c>
      <c r="N743" s="13">
        <v>96</v>
      </c>
      <c r="O743" s="18" t="s">
        <v>36</v>
      </c>
      <c r="P743" s="6">
        <v>40745.431666666671</v>
      </c>
      <c r="Q743" s="16" t="s">
        <v>832</v>
      </c>
      <c r="R743" s="17" t="s">
        <v>833</v>
      </c>
      <c r="S743" s="11" t="s">
        <v>473</v>
      </c>
      <c r="T743" s="12"/>
      <c r="U743" s="10" t="str">
        <f>HYPERLINK("https://pbs.twimg.com/profile_images/1053559144299614208/SFwaZPxU.jpg","View")</f>
        <v>View</v>
      </c>
    </row>
    <row r="744" spans="1:21" ht="51">
      <c r="A744" s="6">
        <v>43426.40221064815</v>
      </c>
      <c r="B744" s="7" t="str">
        <f>HYPERLINK("https://twitter.com/FreireALFONSO","@FreireALFONSO")</f>
        <v>@FreireALFONSO</v>
      </c>
      <c r="C744" s="8" t="s">
        <v>1896</v>
      </c>
      <c r="D744" s="9" t="s">
        <v>1897</v>
      </c>
      <c r="E744" s="10" t="str">
        <f>HYPERLINK("https://twitter.com/FreireALFONSO/status/1065525085635821568","1065525085635821568")</f>
        <v>1065525085635821568</v>
      </c>
      <c r="F744" s="12"/>
      <c r="G744" s="11" t="s">
        <v>1898</v>
      </c>
      <c r="H744" s="12"/>
      <c r="I744" s="13">
        <v>0</v>
      </c>
      <c r="J744" s="13">
        <v>0</v>
      </c>
      <c r="K744" s="14" t="str">
        <f t="shared" ref="K744:K745" si="147">HYPERLINK("http://twitter.com/download/android","Twitter for Android")</f>
        <v>Twitter for Android</v>
      </c>
      <c r="L744" s="13">
        <v>101</v>
      </c>
      <c r="M744" s="13">
        <v>83</v>
      </c>
      <c r="N744" s="13">
        <v>4</v>
      </c>
      <c r="O744" s="15"/>
      <c r="P744" s="6">
        <v>41195.865740740745</v>
      </c>
      <c r="Q744" s="16" t="s">
        <v>1901</v>
      </c>
      <c r="R744" s="17" t="s">
        <v>1902</v>
      </c>
      <c r="S744" s="12"/>
      <c r="T744" s="12"/>
      <c r="U744" s="10" t="str">
        <f>HYPERLINK("https://pbs.twimg.com/profile_images/1040311561552887808/pTkAtlbw.jpg","View")</f>
        <v>View</v>
      </c>
    </row>
    <row r="745" spans="1:21" ht="30.6">
      <c r="A745" s="6">
        <v>43426.40079861111</v>
      </c>
      <c r="B745" s="7" t="str">
        <f>HYPERLINK("https://twitter.com/Paco_Pico27","@Paco_Pico27")</f>
        <v>@Paco_Pico27</v>
      </c>
      <c r="C745" s="8" t="s">
        <v>4066</v>
      </c>
      <c r="D745" s="9" t="s">
        <v>4120</v>
      </c>
      <c r="E745" s="10" t="str">
        <f>HYPERLINK("https://twitter.com/Paco_Pico27/status/1065524574018781184","1065524574018781184")</f>
        <v>1065524574018781184</v>
      </c>
      <c r="F745" s="11" t="s">
        <v>1700</v>
      </c>
      <c r="G745" s="12"/>
      <c r="H745" s="12"/>
      <c r="I745" s="13">
        <v>0</v>
      </c>
      <c r="J745" s="13">
        <v>0</v>
      </c>
      <c r="K745" s="14" t="str">
        <f t="shared" si="147"/>
        <v>Twitter for Android</v>
      </c>
      <c r="L745" s="13">
        <v>465</v>
      </c>
      <c r="M745" s="13">
        <v>857</v>
      </c>
      <c r="N745" s="13">
        <v>0</v>
      </c>
      <c r="O745" s="15"/>
      <c r="P745" s="6">
        <v>41043.761145833334</v>
      </c>
      <c r="Q745" s="16" t="s">
        <v>496</v>
      </c>
      <c r="R745" s="17" t="s">
        <v>4069</v>
      </c>
      <c r="S745" s="12"/>
      <c r="T745" s="12"/>
      <c r="U745" s="10" t="str">
        <f>HYPERLINK("https://pbs.twimg.com/profile_images/711077803148632064/3ryoGf1J.jpg","View")</f>
        <v>View</v>
      </c>
    </row>
    <row r="746" spans="1:21" ht="40.799999999999997">
      <c r="A746" s="6">
        <v>43426.398402777777</v>
      </c>
      <c r="B746" s="7" t="str">
        <f>HYPERLINK("https://twitter.com/CALLLUIS","@CALLLUIS")</f>
        <v>@CALLLUIS</v>
      </c>
      <c r="C746" s="8" t="s">
        <v>1904</v>
      </c>
      <c r="D746" s="9" t="s">
        <v>1905</v>
      </c>
      <c r="E746" s="10" t="str">
        <f>HYPERLINK("https://twitter.com/CALLLUIS/status/1065523707307851776","1065523707307851776")</f>
        <v>1065523707307851776</v>
      </c>
      <c r="F746" s="12"/>
      <c r="G746" s="12"/>
      <c r="H746" s="12"/>
      <c r="I746" s="13">
        <v>0</v>
      </c>
      <c r="J746" s="13">
        <v>0</v>
      </c>
      <c r="K746" s="14" t="str">
        <f>HYPERLINK("http://twitter.com","Twitter Web Client")</f>
        <v>Twitter Web Client</v>
      </c>
      <c r="L746" s="13">
        <v>422</v>
      </c>
      <c r="M746" s="13">
        <v>624</v>
      </c>
      <c r="N746" s="13">
        <v>28</v>
      </c>
      <c r="O746" s="15"/>
      <c r="P746" s="6">
        <v>40755.489259259259</v>
      </c>
      <c r="Q746" s="16" t="s">
        <v>1908</v>
      </c>
      <c r="R746" s="17" t="s">
        <v>1909</v>
      </c>
      <c r="S746" s="11" t="s">
        <v>1910</v>
      </c>
      <c r="T746" s="12"/>
      <c r="U746" s="10" t="str">
        <f>HYPERLINK("https://pbs.twimg.com/profile_images/549630837440774144/CpGrGhf0.jpeg","View")</f>
        <v>View</v>
      </c>
    </row>
    <row r="747" spans="1:21" ht="51">
      <c r="A747" s="6">
        <v>43426.397962962961</v>
      </c>
      <c r="B747" s="7" t="str">
        <f>HYPERLINK("https://twitter.com/pepegiraldez","@pepegiraldez")</f>
        <v>@pepegiraldez</v>
      </c>
      <c r="C747" s="8" t="s">
        <v>4123</v>
      </c>
      <c r="D747" s="9" t="s">
        <v>4124</v>
      </c>
      <c r="E747" s="10" t="str">
        <f>HYPERLINK("https://twitter.com/pepegiraldez/status/1065523546338848768","1065523546338848768")</f>
        <v>1065523546338848768</v>
      </c>
      <c r="F747" s="16" t="s">
        <v>4127</v>
      </c>
      <c r="G747" s="12"/>
      <c r="H747" s="12"/>
      <c r="I747" s="13">
        <v>0</v>
      </c>
      <c r="J747" s="13">
        <v>0</v>
      </c>
      <c r="K747" s="14" t="str">
        <f>HYPERLINK("http://twitter.com/#!/download/ipad","Twitter for iPad")</f>
        <v>Twitter for iPad</v>
      </c>
      <c r="L747" s="13">
        <v>1993</v>
      </c>
      <c r="M747" s="13">
        <v>2240</v>
      </c>
      <c r="N747" s="13">
        <v>138</v>
      </c>
      <c r="O747" s="15"/>
      <c r="P747" s="6">
        <v>39992.877962962964</v>
      </c>
      <c r="Q747" s="16" t="s">
        <v>37</v>
      </c>
      <c r="R747" s="17" t="s">
        <v>4128</v>
      </c>
      <c r="S747" s="12"/>
      <c r="T747" s="12"/>
      <c r="U747" s="10" t="str">
        <f>HYPERLINK("https://pbs.twimg.com/profile_images/1065212148480176128/fauozX4A.jpg","View")</f>
        <v>View</v>
      </c>
    </row>
    <row r="748" spans="1:21" ht="81.599999999999994">
      <c r="A748" s="6">
        <v>43426.396747685183</v>
      </c>
      <c r="B748" s="7" t="str">
        <f>HYPERLINK("https://twitter.com/editubau","@editubau")</f>
        <v>@editubau</v>
      </c>
      <c r="C748" s="8" t="s">
        <v>531</v>
      </c>
      <c r="D748" s="9" t="s">
        <v>1912</v>
      </c>
      <c r="E748" s="10" t="str">
        <f>HYPERLINK("https://twitter.com/editubau/status/1065523105056083969","1065523105056083969")</f>
        <v>1065523105056083969</v>
      </c>
      <c r="F748" s="16" t="s">
        <v>1035</v>
      </c>
      <c r="G748" s="12"/>
      <c r="H748" s="12"/>
      <c r="I748" s="13">
        <v>0</v>
      </c>
      <c r="J748" s="13">
        <v>1</v>
      </c>
      <c r="K748" s="14" t="str">
        <f>HYPERLINK("http://twitter.com/download/iphone","Twitter for iPhone")</f>
        <v>Twitter for iPhone</v>
      </c>
      <c r="L748" s="13">
        <v>1895</v>
      </c>
      <c r="M748" s="13">
        <v>488</v>
      </c>
      <c r="N748" s="13">
        <v>66</v>
      </c>
      <c r="O748" s="15"/>
      <c r="P748" s="6">
        <v>40554.964525462965</v>
      </c>
      <c r="Q748" s="16" t="s">
        <v>536</v>
      </c>
      <c r="R748" s="17" t="s">
        <v>537</v>
      </c>
      <c r="S748" s="12"/>
      <c r="T748" s="12"/>
      <c r="U748" s="10" t="str">
        <f>HYPERLINK("https://pbs.twimg.com/profile_images/516320935662866432/LyHKF49U.jpeg","View")</f>
        <v>View</v>
      </c>
    </row>
    <row r="749" spans="1:21" ht="20.399999999999999">
      <c r="A749" s="6">
        <v>43426.395775462966</v>
      </c>
      <c r="B749" s="7" t="str">
        <f>HYPERLINK("https://twitter.com/Ursuletas","@Ursuletas")</f>
        <v>@Ursuletas</v>
      </c>
      <c r="C749" s="8" t="s">
        <v>1917</v>
      </c>
      <c r="D749" s="9" t="s">
        <v>1918</v>
      </c>
      <c r="E749" s="10" t="str">
        <f>HYPERLINK("https://twitter.com/Ursuletas/status/1065522752701038593","1065522752701038593")</f>
        <v>1065522752701038593</v>
      </c>
      <c r="F749" s="16" t="s">
        <v>1919</v>
      </c>
      <c r="G749" s="12"/>
      <c r="H749" s="12"/>
      <c r="I749" s="13">
        <v>1</v>
      </c>
      <c r="J749" s="13">
        <v>2</v>
      </c>
      <c r="K749" s="14" t="str">
        <f>HYPERLINK("http://twitter.com/download/android","Twitter for Android")</f>
        <v>Twitter for Android</v>
      </c>
      <c r="L749" s="13">
        <v>29</v>
      </c>
      <c r="M749" s="13">
        <v>131</v>
      </c>
      <c r="N749" s="13">
        <v>0</v>
      </c>
      <c r="O749" s="15"/>
      <c r="P749" s="6">
        <v>43016.906863425931</v>
      </c>
      <c r="Q749" s="12"/>
      <c r="R749" s="19"/>
      <c r="S749" s="12"/>
      <c r="T749" s="12"/>
      <c r="U749" s="10" t="str">
        <f>HYPERLINK("https://pbs.twimg.com/profile_images/926884861973008384/d4MzxjbB.jpg","View")</f>
        <v>View</v>
      </c>
    </row>
    <row r="750" spans="1:21" ht="30.6">
      <c r="A750" s="6">
        <v>43426.39565972222</v>
      </c>
      <c r="B750" s="7" t="str">
        <f>HYPERLINK("https://twitter.com/blanc_9","@blanc_9")</f>
        <v>@blanc_9</v>
      </c>
      <c r="C750" s="8" t="s">
        <v>4132</v>
      </c>
      <c r="D750" s="9" t="s">
        <v>4134</v>
      </c>
      <c r="E750" s="10" t="str">
        <f>HYPERLINK("https://twitter.com/blanc_9/status/1065522710493741056","1065522710493741056")</f>
        <v>1065522710493741056</v>
      </c>
      <c r="F750" s="12"/>
      <c r="G750" s="12"/>
      <c r="H750" s="12"/>
      <c r="I750" s="13">
        <v>0</v>
      </c>
      <c r="J750" s="13">
        <v>0</v>
      </c>
      <c r="K750" s="14" t="str">
        <f>HYPERLINK("http://twitter.com/download/iphone","Twitter for iPhone")</f>
        <v>Twitter for iPhone</v>
      </c>
      <c r="L750" s="13">
        <v>159</v>
      </c>
      <c r="M750" s="13">
        <v>248</v>
      </c>
      <c r="N750" s="13">
        <v>9</v>
      </c>
      <c r="O750" s="15"/>
      <c r="P750" s="6">
        <v>40848.842986111107</v>
      </c>
      <c r="Q750" s="16" t="s">
        <v>4135</v>
      </c>
      <c r="R750" s="17" t="s">
        <v>4136</v>
      </c>
      <c r="S750" s="12"/>
      <c r="T750" s="12"/>
      <c r="U750" s="10" t="str">
        <f>HYPERLINK("https://pbs.twimg.com/profile_images/1001430523535912960/3W30dpBS.jpg","View")</f>
        <v>View</v>
      </c>
    </row>
    <row r="751" spans="1:21" ht="20.399999999999999">
      <c r="A751" s="6">
        <v>43426.39534722222</v>
      </c>
      <c r="B751" s="7" t="str">
        <f>HYPERLINK("https://twitter.com/pati_ruvi","@pati_ruvi")</f>
        <v>@pati_ruvi</v>
      </c>
      <c r="C751" s="8" t="s">
        <v>1926</v>
      </c>
      <c r="D751" s="9" t="s">
        <v>1927</v>
      </c>
      <c r="E751" s="10" t="str">
        <f>HYPERLINK("https://twitter.com/pati_ruvi/status/1065522599206232064","1065522599206232064")</f>
        <v>1065522599206232064</v>
      </c>
      <c r="F751" s="12"/>
      <c r="G751" s="11" t="s">
        <v>1928</v>
      </c>
      <c r="H751" s="12"/>
      <c r="I751" s="13">
        <v>0</v>
      </c>
      <c r="J751" s="13">
        <v>0</v>
      </c>
      <c r="K751" s="14" t="str">
        <f>HYPERLINK("http://twitter.com/#!/download/ipad","Twitter for iPad")</f>
        <v>Twitter for iPad</v>
      </c>
      <c r="L751" s="13">
        <v>31</v>
      </c>
      <c r="M751" s="13">
        <v>355</v>
      </c>
      <c r="N751" s="13">
        <v>0</v>
      </c>
      <c r="O751" s="15"/>
      <c r="P751" s="6">
        <v>40182.94091435185</v>
      </c>
      <c r="Q751" s="12"/>
      <c r="R751" s="19"/>
      <c r="S751" s="12"/>
      <c r="T751" s="12"/>
      <c r="U751" s="10" t="str">
        <f>HYPERLINK("https://pbs.twimg.com/profile_images/1039540757638656000/SX6YmOzj.jpg","View")</f>
        <v>View</v>
      </c>
    </row>
    <row r="752" spans="1:21" ht="30.6">
      <c r="A752" s="6">
        <v>43426.39466435185</v>
      </c>
      <c r="B752" s="7" t="str">
        <f>HYPERLINK("https://twitter.com/Jufecha","@Jufecha")</f>
        <v>@Jufecha</v>
      </c>
      <c r="C752" s="8" t="s">
        <v>4142</v>
      </c>
      <c r="D752" s="9" t="s">
        <v>4143</v>
      </c>
      <c r="E752" s="10" t="str">
        <f>HYPERLINK("https://twitter.com/Jufecha/status/1065522351234850816","1065522351234850816")</f>
        <v>1065522351234850816</v>
      </c>
      <c r="F752" s="12"/>
      <c r="G752" s="12"/>
      <c r="H752" s="12"/>
      <c r="I752" s="13">
        <v>0</v>
      </c>
      <c r="J752" s="13">
        <v>0</v>
      </c>
      <c r="K752" s="14" t="str">
        <f t="shared" ref="K752:K754" si="148">HYPERLINK("http://twitter.com/download/android","Twitter for Android")</f>
        <v>Twitter for Android</v>
      </c>
      <c r="L752" s="13">
        <v>463</v>
      </c>
      <c r="M752" s="13">
        <v>584</v>
      </c>
      <c r="N752" s="13">
        <v>3</v>
      </c>
      <c r="O752" s="15"/>
      <c r="P752" s="6">
        <v>41536.555798611109</v>
      </c>
      <c r="Q752" s="16" t="s">
        <v>4145</v>
      </c>
      <c r="R752" s="19"/>
      <c r="S752" s="12"/>
      <c r="T752" s="12"/>
      <c r="U752" s="10" t="str">
        <f>HYPERLINK("https://pbs.twimg.com/profile_images/1050676232923148288/BzGpIr7z.jpg","View")</f>
        <v>View</v>
      </c>
    </row>
    <row r="753" spans="1:21" ht="40.799999999999997">
      <c r="A753" s="6">
        <v>43426.39435185185</v>
      </c>
      <c r="B753" s="7" t="str">
        <f>HYPERLINK("https://twitter.com/Nacho_JISF","@Nacho_JISF")</f>
        <v>@Nacho_JISF</v>
      </c>
      <c r="C753" s="8" t="s">
        <v>4147</v>
      </c>
      <c r="D753" s="9" t="s">
        <v>4148</v>
      </c>
      <c r="E753" s="10" t="str">
        <f>HYPERLINK("https://twitter.com/Nacho_JISF/status/1065522236898111488","1065522236898111488")</f>
        <v>1065522236898111488</v>
      </c>
      <c r="F753" s="11" t="s">
        <v>4149</v>
      </c>
      <c r="G753" s="12"/>
      <c r="H753" s="12"/>
      <c r="I753" s="13">
        <v>8</v>
      </c>
      <c r="J753" s="13">
        <v>6</v>
      </c>
      <c r="K753" s="14" t="str">
        <f t="shared" si="148"/>
        <v>Twitter for Android</v>
      </c>
      <c r="L753" s="13">
        <v>1481</v>
      </c>
      <c r="M753" s="13">
        <v>1419</v>
      </c>
      <c r="N753" s="13">
        <v>6</v>
      </c>
      <c r="O753" s="15"/>
      <c r="P753" s="6">
        <v>42813.016597222224</v>
      </c>
      <c r="Q753" s="16" t="s">
        <v>4152</v>
      </c>
      <c r="R753" s="17" t="s">
        <v>4153</v>
      </c>
      <c r="S753" s="12"/>
      <c r="T753" s="12"/>
      <c r="U753" s="10" t="str">
        <f>HYPERLINK("https://pbs.twimg.com/profile_images/938843378896244738/Jxa7djDg.jpg","View")</f>
        <v>View</v>
      </c>
    </row>
    <row r="754" spans="1:21" ht="51">
      <c r="A754" s="6">
        <v>43426.392916666664</v>
      </c>
      <c r="B754" s="7" t="str">
        <f>HYPERLINK("https://twitter.com/blogsocietat","@blogsocietat")</f>
        <v>@blogsocietat</v>
      </c>
      <c r="C754" s="8" t="s">
        <v>4158</v>
      </c>
      <c r="D754" s="9" t="s">
        <v>4159</v>
      </c>
      <c r="E754" s="10" t="str">
        <f>HYPERLINK("https://twitter.com/blogsocietat/status/1065521719195115520","1065521719195115520")</f>
        <v>1065521719195115520</v>
      </c>
      <c r="F754" s="12"/>
      <c r="G754" s="12"/>
      <c r="H754" s="12"/>
      <c r="I754" s="13">
        <v>348</v>
      </c>
      <c r="J754" s="13">
        <v>719</v>
      </c>
      <c r="K754" s="14" t="str">
        <f t="shared" si="148"/>
        <v>Twitter for Android</v>
      </c>
      <c r="L754" s="13">
        <v>17950</v>
      </c>
      <c r="M754" s="13">
        <v>2386</v>
      </c>
      <c r="N754" s="13">
        <v>131</v>
      </c>
      <c r="O754" s="15"/>
      <c r="P754" s="6">
        <v>40540.012303240743</v>
      </c>
      <c r="Q754" s="12"/>
      <c r="R754" s="17" t="s">
        <v>4160</v>
      </c>
      <c r="S754" s="11" t="s">
        <v>4161</v>
      </c>
      <c r="T754" s="12"/>
      <c r="U754" s="10" t="str">
        <f>HYPERLINK("https://pbs.twimg.com/profile_images/1043821865070940160/sYPA3rAv.jpg","View")</f>
        <v>View</v>
      </c>
    </row>
    <row r="755" spans="1:21" ht="71.400000000000006">
      <c r="A755" s="6">
        <v>43426.391967592594</v>
      </c>
      <c r="B755" s="7" t="str">
        <f>HYPERLINK("https://twitter.com/Keridamadrastra","@Keridamadrastra")</f>
        <v>@Keridamadrastra</v>
      </c>
      <c r="C755" s="8" t="s">
        <v>1931</v>
      </c>
      <c r="D755" s="9" t="s">
        <v>1932</v>
      </c>
      <c r="E755" s="10" t="str">
        <f>HYPERLINK("https://twitter.com/Keridamadrastra/status/1065521371453825025","1065521371453825025")</f>
        <v>1065521371453825025</v>
      </c>
      <c r="F755" s="16" t="s">
        <v>1933</v>
      </c>
      <c r="G755" s="11" t="s">
        <v>1934</v>
      </c>
      <c r="H755" s="12"/>
      <c r="I755" s="13">
        <v>0</v>
      </c>
      <c r="J755" s="13">
        <v>0</v>
      </c>
      <c r="K755" s="14" t="str">
        <f>HYPERLINK("http://twitter.com","Twitter Web Client")</f>
        <v>Twitter Web Client</v>
      </c>
      <c r="L755" s="13">
        <v>260</v>
      </c>
      <c r="M755" s="13">
        <v>1407</v>
      </c>
      <c r="N755" s="13">
        <v>0</v>
      </c>
      <c r="O755" s="15"/>
      <c r="P755" s="6">
        <v>42725.514004629629</v>
      </c>
      <c r="Q755" s="12"/>
      <c r="R755" s="19"/>
      <c r="S755" s="12"/>
      <c r="T755" s="12"/>
      <c r="U755" s="10" t="str">
        <f>HYPERLINK("https://pbs.twimg.com/profile_images/811542389248630784/-euSetq6.jpg","View")</f>
        <v>View</v>
      </c>
    </row>
    <row r="756" spans="1:21" ht="81.599999999999994">
      <c r="A756" s="6">
        <v>43426.391493055555</v>
      </c>
      <c r="B756" s="7" t="str">
        <f>HYPERLINK("https://twitter.com/delmoralo","@delmoralo")</f>
        <v>@delmoralo</v>
      </c>
      <c r="C756" s="8" t="s">
        <v>1329</v>
      </c>
      <c r="D756" s="9" t="s">
        <v>1935</v>
      </c>
      <c r="E756" s="10" t="str">
        <f>HYPERLINK("https://twitter.com/delmoralo/status/1065521202251337728","1065521202251337728")</f>
        <v>1065521202251337728</v>
      </c>
      <c r="F756" s="11" t="s">
        <v>927</v>
      </c>
      <c r="G756" s="11" t="s">
        <v>928</v>
      </c>
      <c r="H756" s="12"/>
      <c r="I756" s="13">
        <v>1</v>
      </c>
      <c r="J756" s="13">
        <v>3</v>
      </c>
      <c r="K756" s="14" t="str">
        <f>HYPERLINK("http://twitter.com/download/android","Twitter for Android")</f>
        <v>Twitter for Android</v>
      </c>
      <c r="L756" s="13">
        <v>2875</v>
      </c>
      <c r="M756" s="13">
        <v>299</v>
      </c>
      <c r="N756" s="13">
        <v>63</v>
      </c>
      <c r="O756" s="15"/>
      <c r="P756" s="6">
        <v>40406.843807870369</v>
      </c>
      <c r="Q756" s="16" t="s">
        <v>1335</v>
      </c>
      <c r="R756" s="17" t="s">
        <v>1336</v>
      </c>
      <c r="S756" s="11" t="s">
        <v>1337</v>
      </c>
      <c r="T756" s="12"/>
      <c r="U756" s="10" t="str">
        <f>HYPERLINK("https://pbs.twimg.com/profile_images/1027698376077451264/ybqgwhYD.jpg","View")</f>
        <v>View</v>
      </c>
    </row>
    <row r="757" spans="1:21" ht="40.799999999999997">
      <c r="A757" s="6">
        <v>43426.387835648144</v>
      </c>
      <c r="B757" s="7" t="str">
        <f>HYPERLINK("https://twitter.com/Albert_Rivera","@Albert_Rivera")</f>
        <v>@Albert_Rivera</v>
      </c>
      <c r="C757" s="8" t="s">
        <v>389</v>
      </c>
      <c r="D757" s="9" t="s">
        <v>4167</v>
      </c>
      <c r="E757" s="10" t="str">
        <f>HYPERLINK("https://twitter.com/Albert_Rivera/status/1065519877392338944","1065519877392338944")</f>
        <v>1065519877392338944</v>
      </c>
      <c r="F757" s="11" t="s">
        <v>4168</v>
      </c>
      <c r="G757" s="12"/>
      <c r="H757" s="12"/>
      <c r="I757" s="13">
        <v>1278</v>
      </c>
      <c r="J757" s="13">
        <v>1535</v>
      </c>
      <c r="K757" s="14" t="str">
        <f>HYPERLINK("http://twitter.com/download/iphone","Twitter for iPhone")</f>
        <v>Twitter for iPhone</v>
      </c>
      <c r="L757" s="13">
        <v>1071530</v>
      </c>
      <c r="M757" s="13">
        <v>2545</v>
      </c>
      <c r="N757" s="13">
        <v>5104</v>
      </c>
      <c r="O757" s="18" t="s">
        <v>36</v>
      </c>
      <c r="P757" s="6">
        <v>40205.748171296298</v>
      </c>
      <c r="Q757" s="16" t="s">
        <v>37</v>
      </c>
      <c r="R757" s="17" t="s">
        <v>393</v>
      </c>
      <c r="S757" s="11" t="s">
        <v>394</v>
      </c>
      <c r="T757" s="12"/>
      <c r="U757" s="10" t="str">
        <f>HYPERLINK("https://pbs.twimg.com/profile_images/1030708936779988993/RncDM4EZ.jpg","View")</f>
        <v>View</v>
      </c>
    </row>
    <row r="758" spans="1:21" ht="71.400000000000006">
      <c r="A758" s="6">
        <v>43426.384999999995</v>
      </c>
      <c r="B758" s="7" t="str">
        <f>HYPERLINK("https://twitter.com/rafa_morata","@rafa_morata")</f>
        <v>@rafa_morata</v>
      </c>
      <c r="C758" s="8" t="s">
        <v>4174</v>
      </c>
      <c r="D758" s="9" t="s">
        <v>4175</v>
      </c>
      <c r="E758" s="10" t="str">
        <f>HYPERLINK("https://twitter.com/rafa_morata/status/1065518849548840961","1065518849548840961")</f>
        <v>1065518849548840961</v>
      </c>
      <c r="F758" s="16" t="s">
        <v>64</v>
      </c>
      <c r="G758" s="11" t="s">
        <v>65</v>
      </c>
      <c r="H758" s="12"/>
      <c r="I758" s="13">
        <v>0</v>
      </c>
      <c r="J758" s="13">
        <v>0</v>
      </c>
      <c r="K758" s="14" t="str">
        <f t="shared" ref="K758:K761" si="149">HYPERLINK("http://twitter.com","Twitter Web Client")</f>
        <v>Twitter Web Client</v>
      </c>
      <c r="L758" s="13">
        <v>2920</v>
      </c>
      <c r="M758" s="13">
        <v>3450</v>
      </c>
      <c r="N758" s="13">
        <v>62</v>
      </c>
      <c r="O758" s="15"/>
      <c r="P758" s="6">
        <v>40580.739606481482</v>
      </c>
      <c r="Q758" s="16" t="s">
        <v>4178</v>
      </c>
      <c r="R758" s="17" t="s">
        <v>4179</v>
      </c>
      <c r="S758" s="11" t="s">
        <v>4180</v>
      </c>
      <c r="T758" s="12"/>
      <c r="U758" s="10" t="str">
        <f>HYPERLINK("https://pbs.twimg.com/profile_images/1053296947627507712/53q_0tB9.jpg","View")</f>
        <v>View</v>
      </c>
    </row>
    <row r="759" spans="1:21" ht="40.799999999999997">
      <c r="A759" s="6">
        <v>43426.383703703701</v>
      </c>
      <c r="B759" s="7" t="str">
        <f>HYPERLINK("https://twitter.com/tonibujosa1","@tonibujosa1")</f>
        <v>@tonibujosa1</v>
      </c>
      <c r="C759" s="8" t="s">
        <v>4181</v>
      </c>
      <c r="D759" s="9" t="s">
        <v>4182</v>
      </c>
      <c r="E759" s="10" t="str">
        <f>HYPERLINK("https://twitter.com/tonibujosa1/status/1065518378176192512","1065518378176192512")</f>
        <v>1065518378176192512</v>
      </c>
      <c r="F759" s="12"/>
      <c r="G759" s="12"/>
      <c r="H759" s="12"/>
      <c r="I759" s="13">
        <v>0</v>
      </c>
      <c r="J759" s="13">
        <v>0</v>
      </c>
      <c r="K759" s="14" t="str">
        <f t="shared" si="149"/>
        <v>Twitter Web Client</v>
      </c>
      <c r="L759" s="13">
        <v>17</v>
      </c>
      <c r="M759" s="13">
        <v>90</v>
      </c>
      <c r="N759" s="13">
        <v>0</v>
      </c>
      <c r="O759" s="15"/>
      <c r="P759" s="6">
        <v>41905.90824074074</v>
      </c>
      <c r="Q759" s="12"/>
      <c r="R759" s="19"/>
      <c r="S759" s="12"/>
      <c r="T759" s="12"/>
      <c r="U759" s="10" t="str">
        <f>HYPERLINK("https://pbs.twimg.com/profile_images/1000084248043368454/JVvre_oW.jpg","View")</f>
        <v>View</v>
      </c>
    </row>
    <row r="760" spans="1:21" ht="20.399999999999999">
      <c r="A760" s="6">
        <v>43426.38108796296</v>
      </c>
      <c r="B760" s="7" t="str">
        <f>HYPERLINK("https://twitter.com/joanbaldovi","@joanbaldovi")</f>
        <v>@joanbaldovi</v>
      </c>
      <c r="C760" s="8" t="s">
        <v>4186</v>
      </c>
      <c r="D760" s="9" t="s">
        <v>4187</v>
      </c>
      <c r="E760" s="10" t="str">
        <f>HYPERLINK("https://twitter.com/joanbaldovi/status/1065517429034573824","1065517429034573824")</f>
        <v>1065517429034573824</v>
      </c>
      <c r="F760" s="11" t="s">
        <v>2156</v>
      </c>
      <c r="G760" s="12"/>
      <c r="H760" s="12"/>
      <c r="I760" s="13">
        <v>348</v>
      </c>
      <c r="J760" s="13">
        <v>551</v>
      </c>
      <c r="K760" s="14" t="str">
        <f t="shared" si="149"/>
        <v>Twitter Web Client</v>
      </c>
      <c r="L760" s="13">
        <v>48220</v>
      </c>
      <c r="M760" s="13">
        <v>1276</v>
      </c>
      <c r="N760" s="13">
        <v>491</v>
      </c>
      <c r="O760" s="18" t="s">
        <v>36</v>
      </c>
      <c r="P760" s="6">
        <v>40810.206134259257</v>
      </c>
      <c r="Q760" s="16" t="s">
        <v>4191</v>
      </c>
      <c r="R760" s="17" t="s">
        <v>4192</v>
      </c>
      <c r="S760" s="11" t="s">
        <v>4193</v>
      </c>
      <c r="T760" s="12"/>
      <c r="U760" s="10" t="str">
        <f>HYPERLINK("https://pbs.twimg.com/profile_images/859427286738763777/VNRwddkZ.jpg","View")</f>
        <v>View</v>
      </c>
    </row>
    <row r="761" spans="1:21" ht="30.6">
      <c r="A761" s="6">
        <v>43426.376793981486</v>
      </c>
      <c r="B761" s="7" t="str">
        <f>HYPERLINK("https://twitter.com/CiudadanosCs","@CiudadanosCs")</f>
        <v>@CiudadanosCs</v>
      </c>
      <c r="C761" s="8" t="s">
        <v>196</v>
      </c>
      <c r="D761" s="9" t="s">
        <v>1943</v>
      </c>
      <c r="E761" s="10" t="str">
        <f>HYPERLINK("https://twitter.com/CiudadanosCs/status/1065515873832771584","1065515873832771584")</f>
        <v>1065515873832771584</v>
      </c>
      <c r="F761" s="11" t="s">
        <v>1876</v>
      </c>
      <c r="G761" s="11" t="s">
        <v>1934</v>
      </c>
      <c r="H761" s="12"/>
      <c r="I761" s="13">
        <v>27</v>
      </c>
      <c r="J761" s="13">
        <v>40</v>
      </c>
      <c r="K761" s="14" t="str">
        <f t="shared" si="149"/>
        <v>Twitter Web Client</v>
      </c>
      <c r="L761" s="13">
        <v>486503</v>
      </c>
      <c r="M761" s="13">
        <v>93653</v>
      </c>
      <c r="N761" s="13">
        <v>3318</v>
      </c>
      <c r="O761" s="18" t="s">
        <v>36</v>
      </c>
      <c r="P761" s="6">
        <v>39828.753460648149</v>
      </c>
      <c r="Q761" s="16" t="s">
        <v>37</v>
      </c>
      <c r="R761" s="17" t="s">
        <v>202</v>
      </c>
      <c r="S761" s="11" t="s">
        <v>203</v>
      </c>
      <c r="T761" s="12"/>
      <c r="U761" s="10" t="str">
        <f>HYPERLINK("https://pbs.twimg.com/profile_images/1053554096161075200/1z77_zBZ.jpg","View")</f>
        <v>View</v>
      </c>
    </row>
    <row r="762" spans="1:21" ht="51">
      <c r="A762" s="6">
        <v>43426.376782407402</v>
      </c>
      <c r="B762" s="7" t="str">
        <f>HYPERLINK("https://twitter.com/XaviBDN","@XaviBDN")</f>
        <v>@XaviBDN</v>
      </c>
      <c r="C762" s="8" t="s">
        <v>1947</v>
      </c>
      <c r="D762" s="9" t="s">
        <v>1948</v>
      </c>
      <c r="E762" s="10" t="str">
        <f>HYPERLINK("https://twitter.com/XaviBDN/status/1065515868354940928","1065515868354940928")</f>
        <v>1065515868354940928</v>
      </c>
      <c r="F762" s="12"/>
      <c r="G762" s="12"/>
      <c r="H762" s="12"/>
      <c r="I762" s="13">
        <v>0</v>
      </c>
      <c r="J762" s="13">
        <v>4</v>
      </c>
      <c r="K762" s="14" t="str">
        <f t="shared" ref="K762:K763" si="150">HYPERLINK("http://twitter.com/download/android","Twitter for Android")</f>
        <v>Twitter for Android</v>
      </c>
      <c r="L762" s="13">
        <v>1180</v>
      </c>
      <c r="M762" s="13">
        <v>1523</v>
      </c>
      <c r="N762" s="13">
        <v>45</v>
      </c>
      <c r="O762" s="15"/>
      <c r="P762" s="6">
        <v>39648.672465277778</v>
      </c>
      <c r="Q762" s="16" t="s">
        <v>1950</v>
      </c>
      <c r="R762" s="17" t="s">
        <v>1951</v>
      </c>
      <c r="S762" s="12"/>
      <c r="T762" s="12"/>
      <c r="U762" s="10" t="str">
        <f>HYPERLINK("https://pbs.twimg.com/profile_images/679592430660927489/aRH4Bs_s.jpg","View")</f>
        <v>View</v>
      </c>
    </row>
    <row r="763" spans="1:21" ht="20.399999999999999">
      <c r="A763" s="6">
        <v>43426.376203703709</v>
      </c>
      <c r="B763" s="7" t="str">
        <f>HYPERLINK("https://twitter.com/Rigoletto77","@Rigoletto77")</f>
        <v>@Rigoletto77</v>
      </c>
      <c r="C763" s="8" t="s">
        <v>1952</v>
      </c>
      <c r="D763" s="9" t="s">
        <v>1953</v>
      </c>
      <c r="E763" s="10" t="str">
        <f>HYPERLINK("https://twitter.com/Rigoletto77/status/1065515662372683777","1065515662372683777")</f>
        <v>1065515662372683777</v>
      </c>
      <c r="F763" s="12"/>
      <c r="G763" s="12"/>
      <c r="H763" s="12"/>
      <c r="I763" s="13">
        <v>0</v>
      </c>
      <c r="J763" s="13">
        <v>0</v>
      </c>
      <c r="K763" s="14" t="str">
        <f t="shared" si="150"/>
        <v>Twitter for Android</v>
      </c>
      <c r="L763" s="13">
        <v>212</v>
      </c>
      <c r="M763" s="13">
        <v>450</v>
      </c>
      <c r="N763" s="13">
        <v>4</v>
      </c>
      <c r="O763" s="15"/>
      <c r="P763" s="6">
        <v>42636.49622685185</v>
      </c>
      <c r="Q763" s="16" t="s">
        <v>1956</v>
      </c>
      <c r="R763" s="17" t="s">
        <v>1957</v>
      </c>
      <c r="S763" s="12"/>
      <c r="T763" s="12"/>
      <c r="U763" s="10" t="str">
        <f>HYPERLINK("https://pbs.twimg.com/profile_images/928942375724113920/J0kC24sK.jpg","View")</f>
        <v>View</v>
      </c>
    </row>
    <row r="764" spans="1:21" ht="30.6">
      <c r="A764" s="6">
        <v>43426.373969907407</v>
      </c>
      <c r="B764" s="7" t="str">
        <f>HYPERLINK("https://twitter.com/Albert_Rivera","@Albert_Rivera")</f>
        <v>@Albert_Rivera</v>
      </c>
      <c r="C764" s="8" t="s">
        <v>389</v>
      </c>
      <c r="D764" s="9" t="s">
        <v>4206</v>
      </c>
      <c r="E764" s="10" t="str">
        <f>HYPERLINK("https://twitter.com/Albert_Rivera/status/1065514851747930112","1065514851747930112")</f>
        <v>1065514851747930112</v>
      </c>
      <c r="F764" s="12"/>
      <c r="G764" s="11" t="s">
        <v>928</v>
      </c>
      <c r="H764" s="12"/>
      <c r="I764" s="13">
        <v>1289</v>
      </c>
      <c r="J764" s="13">
        <v>2179</v>
      </c>
      <c r="K764" s="14" t="str">
        <f>HYPERLINK("http://twitter.com/download/iphone","Twitter for iPhone")</f>
        <v>Twitter for iPhone</v>
      </c>
      <c r="L764" s="13">
        <v>1071530</v>
      </c>
      <c r="M764" s="13">
        <v>2545</v>
      </c>
      <c r="N764" s="13">
        <v>5104</v>
      </c>
      <c r="O764" s="18" t="s">
        <v>36</v>
      </c>
      <c r="P764" s="6">
        <v>40205.748171296298</v>
      </c>
      <c r="Q764" s="16" t="s">
        <v>37</v>
      </c>
      <c r="R764" s="17" t="s">
        <v>393</v>
      </c>
      <c r="S764" s="11" t="s">
        <v>394</v>
      </c>
      <c r="T764" s="12"/>
      <c r="U764" s="10" t="str">
        <f>HYPERLINK("https://pbs.twimg.com/profile_images/1030708936779988993/RncDM4EZ.jpg","View")</f>
        <v>View</v>
      </c>
    </row>
    <row r="765" spans="1:21" ht="40.799999999999997">
      <c r="A765" s="6">
        <v>43426.373217592598</v>
      </c>
      <c r="B765" s="7" t="str">
        <f>HYPERLINK("https://twitter.com/antonimanchado","@antonimanchado")</f>
        <v>@antonimanchado</v>
      </c>
      <c r="C765" s="8" t="s">
        <v>1960</v>
      </c>
      <c r="D765" s="9" t="s">
        <v>1961</v>
      </c>
      <c r="E765" s="10" t="str">
        <f>HYPERLINK("https://twitter.com/antonimanchado/status/1065514577620844546","1065514577620844546")</f>
        <v>1065514577620844546</v>
      </c>
      <c r="F765" s="12"/>
      <c r="G765" s="12"/>
      <c r="H765" s="12"/>
      <c r="I765" s="13">
        <v>0</v>
      </c>
      <c r="J765" s="13">
        <v>0</v>
      </c>
      <c r="K765" s="14" t="str">
        <f>HYPERLINK("http://twitter.com/download/android","Twitter for Android")</f>
        <v>Twitter for Android</v>
      </c>
      <c r="L765" s="13">
        <v>3873</v>
      </c>
      <c r="M765" s="13">
        <v>2578</v>
      </c>
      <c r="N765" s="13">
        <v>303</v>
      </c>
      <c r="O765" s="15"/>
      <c r="P765" s="6">
        <v>39636.017685185187</v>
      </c>
      <c r="Q765" s="16" t="s">
        <v>1964</v>
      </c>
      <c r="R765" s="17" t="s">
        <v>1965</v>
      </c>
      <c r="S765" s="11" t="s">
        <v>1966</v>
      </c>
      <c r="T765" s="12"/>
      <c r="U765" s="10" t="str">
        <f>HYPERLINK("https://pbs.twimg.com/profile_images/1053334789795860486/eBFAiwak.jpg","View")</f>
        <v>View</v>
      </c>
    </row>
    <row r="766" spans="1:21" ht="61.2">
      <c r="A766" s="6">
        <v>43426.373159722221</v>
      </c>
      <c r="B766" s="7" t="str">
        <f>HYPERLINK("https://twitter.com/somosregion","@somosregion")</f>
        <v>@somosregion</v>
      </c>
      <c r="C766" s="8" t="s">
        <v>1970</v>
      </c>
      <c r="D766" s="9" t="s">
        <v>1971</v>
      </c>
      <c r="E766" s="10" t="str">
        <f>HYPERLINK("https://twitter.com/somosregion/status/1065514556166950912","1065514556166950912")</f>
        <v>1065514556166950912</v>
      </c>
      <c r="F766" s="12"/>
      <c r="G766" s="11" t="s">
        <v>1972</v>
      </c>
      <c r="H766" s="12"/>
      <c r="I766" s="13">
        <v>19</v>
      </c>
      <c r="J766" s="13">
        <v>20</v>
      </c>
      <c r="K766" s="14" t="str">
        <f>HYPERLINK("http://twitter.com/download/iphone","Twitter for iPhone")</f>
        <v>Twitter for iPhone</v>
      </c>
      <c r="L766" s="13">
        <v>1398</v>
      </c>
      <c r="M766" s="13">
        <v>699</v>
      </c>
      <c r="N766" s="13">
        <v>13</v>
      </c>
      <c r="O766" s="15"/>
      <c r="P766" s="6">
        <v>43123.479537037041</v>
      </c>
      <c r="Q766" s="16" t="s">
        <v>1974</v>
      </c>
      <c r="R766" s="17" t="s">
        <v>1975</v>
      </c>
      <c r="S766" s="11" t="s">
        <v>1976</v>
      </c>
      <c r="T766" s="12"/>
      <c r="U766" s="10" t="str">
        <f>HYPERLINK("https://pbs.twimg.com/profile_images/984903934845292550/6BPa5Opf.jpg","View")</f>
        <v>View</v>
      </c>
    </row>
    <row r="767" spans="1:21" ht="30.6">
      <c r="A767" s="6">
        <v>43426.372986111106</v>
      </c>
      <c r="B767" s="7" t="str">
        <f>HYPERLINK("https://twitter.com/Josegonsan","@Josegonsan")</f>
        <v>@Josegonsan</v>
      </c>
      <c r="C767" s="8" t="s">
        <v>112</v>
      </c>
      <c r="D767" s="9" t="s">
        <v>4212</v>
      </c>
      <c r="E767" s="10" t="str">
        <f>HYPERLINK("https://twitter.com/Josegonsan/status/1065514493432741888","1065514493432741888")</f>
        <v>1065514493432741888</v>
      </c>
      <c r="F767" s="12"/>
      <c r="G767" s="12"/>
      <c r="H767" s="12"/>
      <c r="I767" s="13">
        <v>0</v>
      </c>
      <c r="J767" s="13">
        <v>0</v>
      </c>
      <c r="K767" s="14" t="str">
        <f t="shared" ref="K767:K769" si="151">HYPERLINK("http://twitter.com/download/android","Twitter for Android")</f>
        <v>Twitter for Android</v>
      </c>
      <c r="L767" s="13">
        <v>23</v>
      </c>
      <c r="M767" s="13">
        <v>117</v>
      </c>
      <c r="N767" s="13">
        <v>0</v>
      </c>
      <c r="O767" s="15"/>
      <c r="P767" s="6">
        <v>42171.603854166664</v>
      </c>
      <c r="Q767" s="16" t="s">
        <v>116</v>
      </c>
      <c r="R767" s="19"/>
      <c r="S767" s="12"/>
      <c r="T767" s="12"/>
      <c r="U767" s="10" t="str">
        <f>HYPERLINK("https://pbs.twimg.com/profile_images/613410644201721857/9uDgGBog.jpg","View")</f>
        <v>View</v>
      </c>
    </row>
    <row r="768" spans="1:21" ht="40.799999999999997">
      <c r="A768" s="6">
        <v>43426.371099537035</v>
      </c>
      <c r="B768" s="7" t="str">
        <f>HYPERLINK("https://twitter.com/antonimanchado","@antonimanchado")</f>
        <v>@antonimanchado</v>
      </c>
      <c r="C768" s="8" t="s">
        <v>1960</v>
      </c>
      <c r="D768" s="9" t="s">
        <v>1979</v>
      </c>
      <c r="E768" s="10" t="str">
        <f>HYPERLINK("https://twitter.com/antonimanchado/status/1065513812198137856","1065513812198137856")</f>
        <v>1065513812198137856</v>
      </c>
      <c r="F768" s="12"/>
      <c r="G768" s="12"/>
      <c r="H768" s="12"/>
      <c r="I768" s="13">
        <v>0</v>
      </c>
      <c r="J768" s="13">
        <v>0</v>
      </c>
      <c r="K768" s="14" t="str">
        <f t="shared" si="151"/>
        <v>Twitter for Android</v>
      </c>
      <c r="L768" s="13">
        <v>3873</v>
      </c>
      <c r="M768" s="13">
        <v>2578</v>
      </c>
      <c r="N768" s="13">
        <v>303</v>
      </c>
      <c r="O768" s="15"/>
      <c r="P768" s="6">
        <v>39636.017685185187</v>
      </c>
      <c r="Q768" s="16" t="s">
        <v>1964</v>
      </c>
      <c r="R768" s="17" t="s">
        <v>1965</v>
      </c>
      <c r="S768" s="11" t="s">
        <v>1966</v>
      </c>
      <c r="T768" s="12"/>
      <c r="U768" s="10" t="str">
        <f>HYPERLINK("https://pbs.twimg.com/profile_images/1053334789795860486/eBFAiwak.jpg","View")</f>
        <v>View</v>
      </c>
    </row>
    <row r="769" spans="1:21" ht="40.799999999999997">
      <c r="A769" s="6">
        <v>43426.368136574078</v>
      </c>
      <c r="B769" s="7" t="str">
        <f>HYPERLINK("https://twitter.com/chiaraviper","@chiaraviper")</f>
        <v>@chiaraviper</v>
      </c>
      <c r="C769" s="8" t="s">
        <v>1983</v>
      </c>
      <c r="D769" s="9" t="s">
        <v>1984</v>
      </c>
      <c r="E769" s="10" t="str">
        <f>HYPERLINK("https://twitter.com/chiaraviper/status/1065512735998390272","1065512735998390272")</f>
        <v>1065512735998390272</v>
      </c>
      <c r="F769" s="11" t="s">
        <v>1985</v>
      </c>
      <c r="G769" s="12"/>
      <c r="H769" s="12"/>
      <c r="I769" s="13">
        <v>0</v>
      </c>
      <c r="J769" s="13">
        <v>0</v>
      </c>
      <c r="K769" s="14" t="str">
        <f t="shared" si="151"/>
        <v>Twitter for Android</v>
      </c>
      <c r="L769" s="13">
        <v>198</v>
      </c>
      <c r="M769" s="13">
        <v>182</v>
      </c>
      <c r="N769" s="13">
        <v>2</v>
      </c>
      <c r="O769" s="15"/>
      <c r="P769" s="6">
        <v>42124.95040509259</v>
      </c>
      <c r="Q769" s="16" t="s">
        <v>1986</v>
      </c>
      <c r="R769" s="17" t="s">
        <v>1987</v>
      </c>
      <c r="S769" s="12"/>
      <c r="T769" s="12"/>
      <c r="U769" s="10" t="str">
        <f>HYPERLINK("https://pbs.twimg.com/profile_images/1029083961954365442/lC-QIlgQ.jpg","View")</f>
        <v>View</v>
      </c>
    </row>
    <row r="770" spans="1:21" ht="20.399999999999999">
      <c r="A770" s="6">
        <v>43426.366516203707</v>
      </c>
      <c r="B770" s="7" t="str">
        <f>HYPERLINK("https://twitter.com/fcantero","@fcantero")</f>
        <v>@fcantero</v>
      </c>
      <c r="C770" s="8" t="s">
        <v>4230</v>
      </c>
      <c r="D770" s="9" t="s">
        <v>1697</v>
      </c>
      <c r="E770" s="10" t="str">
        <f>HYPERLINK("https://twitter.com/fcantero/status/1065512149563424768","1065512149563424768")</f>
        <v>1065512149563424768</v>
      </c>
      <c r="F770" s="11" t="s">
        <v>1700</v>
      </c>
      <c r="G770" s="12"/>
      <c r="H770" s="12"/>
      <c r="I770" s="13">
        <v>0</v>
      </c>
      <c r="J770" s="13">
        <v>0</v>
      </c>
      <c r="K770" s="14" t="str">
        <f t="shared" ref="K770:K771" si="152">HYPERLINK("http://twitter.com","Twitter Web Client")</f>
        <v>Twitter Web Client</v>
      </c>
      <c r="L770" s="13">
        <v>8554</v>
      </c>
      <c r="M770" s="13">
        <v>8371</v>
      </c>
      <c r="N770" s="13">
        <v>99</v>
      </c>
      <c r="O770" s="15"/>
      <c r="P770" s="6">
        <v>39796.733831018515</v>
      </c>
      <c r="Q770" s="16" t="s">
        <v>3764</v>
      </c>
      <c r="R770" s="17" t="s">
        <v>4233</v>
      </c>
      <c r="S770" s="12"/>
      <c r="T770" s="12"/>
      <c r="U770" s="10" t="str">
        <f>HYPERLINK("https://pbs.twimg.com/profile_images/720734608359309312/GSI4y0kg.jpg","View")</f>
        <v>View</v>
      </c>
    </row>
    <row r="771" spans="1:21" ht="51">
      <c r="A771" s="6">
        <v>43426.361851851849</v>
      </c>
      <c r="B771" s="7" t="str">
        <f>HYPERLINK("https://twitter.com/segador666","@segador666")</f>
        <v>@segador666</v>
      </c>
      <c r="C771" s="8" t="s">
        <v>4237</v>
      </c>
      <c r="D771" s="9" t="s">
        <v>4238</v>
      </c>
      <c r="E771" s="10" t="str">
        <f>HYPERLINK("https://twitter.com/segador666/status/1065510461679050752","1065510461679050752")</f>
        <v>1065510461679050752</v>
      </c>
      <c r="F771" s="11" t="s">
        <v>4239</v>
      </c>
      <c r="G771" s="12"/>
      <c r="H771" s="12"/>
      <c r="I771" s="13">
        <v>0</v>
      </c>
      <c r="J771" s="13">
        <v>0</v>
      </c>
      <c r="K771" s="14" t="str">
        <f t="shared" si="152"/>
        <v>Twitter Web Client</v>
      </c>
      <c r="L771" s="13">
        <v>917</v>
      </c>
      <c r="M771" s="13">
        <v>1731</v>
      </c>
      <c r="N771" s="13">
        <v>1</v>
      </c>
      <c r="O771" s="15"/>
      <c r="P771" s="6">
        <v>43000.36346064815</v>
      </c>
      <c r="Q771" s="16" t="s">
        <v>4240</v>
      </c>
      <c r="R771" s="17" t="s">
        <v>4242</v>
      </c>
      <c r="S771" s="11" t="s">
        <v>4243</v>
      </c>
      <c r="T771" s="12"/>
      <c r="U771" s="10" t="str">
        <f>HYPERLINK("https://pbs.twimg.com/profile_images/982329847765766145/Go-hPGDt.jpg","View")</f>
        <v>View</v>
      </c>
    </row>
    <row r="772" spans="1:21" ht="40.799999999999997">
      <c r="A772" s="6">
        <v>43426.359803240739</v>
      </c>
      <c r="B772" s="7" t="str">
        <f>HYPERLINK("https://twitter.com/FopsFopo","@FopsFopo")</f>
        <v>@FopsFopo</v>
      </c>
      <c r="C772" s="8" t="s">
        <v>1988</v>
      </c>
      <c r="D772" s="9" t="s">
        <v>1989</v>
      </c>
      <c r="E772" s="10" t="str">
        <f>HYPERLINK("https://twitter.com/FopsFopo/status/1065509718112837633","1065509718112837633")</f>
        <v>1065509718112837633</v>
      </c>
      <c r="F772" s="12"/>
      <c r="G772" s="12"/>
      <c r="H772" s="12"/>
      <c r="I772" s="13">
        <v>1</v>
      </c>
      <c r="J772" s="13">
        <v>0</v>
      </c>
      <c r="K772" s="14" t="str">
        <f t="shared" ref="K772:K773" si="153">HYPERLINK("http://twitter.com/download/android","Twitter for Android")</f>
        <v>Twitter for Android</v>
      </c>
      <c r="L772" s="13">
        <v>45</v>
      </c>
      <c r="M772" s="13">
        <v>559</v>
      </c>
      <c r="N772" s="13">
        <v>1</v>
      </c>
      <c r="O772" s="15"/>
      <c r="P772" s="6">
        <v>43043.041770833333</v>
      </c>
      <c r="Q772" s="16" t="s">
        <v>1992</v>
      </c>
      <c r="R772" s="17" t="s">
        <v>1993</v>
      </c>
      <c r="S772" s="12"/>
      <c r="T772" s="12"/>
      <c r="U772" s="10" t="str">
        <f>HYPERLINK("https://pbs.twimg.com/profile_images/926605080937291782/2tA99sPC.jpg","View")</f>
        <v>View</v>
      </c>
    </row>
    <row r="773" spans="1:21" ht="51">
      <c r="A773" s="6">
        <v>43426.359652777777</v>
      </c>
      <c r="B773" s="7" t="str">
        <f>HYPERLINK("https://twitter.com/jifgif","@jifgif")</f>
        <v>@jifgif</v>
      </c>
      <c r="C773" s="8" t="s">
        <v>4248</v>
      </c>
      <c r="D773" s="9" t="s">
        <v>4249</v>
      </c>
      <c r="E773" s="10" t="str">
        <f>HYPERLINK("https://twitter.com/jifgif/status/1065509661087019009","1065509661087019009")</f>
        <v>1065509661087019009</v>
      </c>
      <c r="F773" s="12"/>
      <c r="G773" s="12"/>
      <c r="H773" s="12"/>
      <c r="I773" s="13">
        <v>0</v>
      </c>
      <c r="J773" s="13">
        <v>0</v>
      </c>
      <c r="K773" s="14" t="str">
        <f t="shared" si="153"/>
        <v>Twitter for Android</v>
      </c>
      <c r="L773" s="13">
        <v>346</v>
      </c>
      <c r="M773" s="13">
        <v>457</v>
      </c>
      <c r="N773" s="13">
        <v>4</v>
      </c>
      <c r="O773" s="15"/>
      <c r="P773" s="6">
        <v>39444.099016203705</v>
      </c>
      <c r="Q773" s="12"/>
      <c r="R773" s="17" t="s">
        <v>4251</v>
      </c>
      <c r="S773" s="12"/>
      <c r="T773" s="12"/>
      <c r="U773" s="10" t="str">
        <f>HYPERLINK("https://pbs.twimg.com/profile_images/521945606533971968/98PMVfg9.jpeg","View")</f>
        <v>View</v>
      </c>
    </row>
    <row r="774" spans="1:21" ht="40.799999999999997">
      <c r="A774" s="6">
        <v>43426.358946759261</v>
      </c>
      <c r="B774" s="7" t="str">
        <f>HYPERLINK("https://twitter.com/Kanrolas","@Kanrolas")</f>
        <v>@Kanrolas</v>
      </c>
      <c r="C774" s="8" t="s">
        <v>1996</v>
      </c>
      <c r="D774" s="9" t="s">
        <v>1997</v>
      </c>
      <c r="E774" s="10" t="str">
        <f>HYPERLINK("https://twitter.com/Kanrolas/status/1065509405419061248","1065509405419061248")</f>
        <v>1065509405419061248</v>
      </c>
      <c r="F774" s="16" t="s">
        <v>64</v>
      </c>
      <c r="G774" s="11" t="s">
        <v>65</v>
      </c>
      <c r="H774" s="12"/>
      <c r="I774" s="13">
        <v>0</v>
      </c>
      <c r="J774" s="13">
        <v>0</v>
      </c>
      <c r="K774" s="14" t="str">
        <f>HYPERLINK("http://twitter.com/download/iphone","Twitter for iPhone")</f>
        <v>Twitter for iPhone</v>
      </c>
      <c r="L774" s="13">
        <v>718</v>
      </c>
      <c r="M774" s="13">
        <v>290</v>
      </c>
      <c r="N774" s="13">
        <v>57</v>
      </c>
      <c r="O774" s="15"/>
      <c r="P774" s="6">
        <v>39920.651516203703</v>
      </c>
      <c r="Q774" s="16" t="s">
        <v>2000</v>
      </c>
      <c r="R774" s="17" t="s">
        <v>2001</v>
      </c>
      <c r="S774" s="11" t="s">
        <v>2003</v>
      </c>
      <c r="T774" s="12"/>
      <c r="U774" s="10" t="str">
        <f>HYPERLINK("https://pbs.twimg.com/profile_images/889571210513846273/8kIT0_aK.jpg","View")</f>
        <v>View</v>
      </c>
    </row>
    <row r="775" spans="1:21" ht="30.6">
      <c r="A775" s="6">
        <v>43426.358472222222</v>
      </c>
      <c r="B775" s="7" t="str">
        <f>HYPERLINK("https://twitter.com/Desayunos_tve","@Desayunos_tve")</f>
        <v>@Desayunos_tve</v>
      </c>
      <c r="C775" s="8" t="s">
        <v>4255</v>
      </c>
      <c r="D775" s="9" t="s">
        <v>4256</v>
      </c>
      <c r="E775" s="10" t="str">
        <f>HYPERLINK("https://twitter.com/Desayunos_tve/status/1065509237151825920","1065509237151825920")</f>
        <v>1065509237151825920</v>
      </c>
      <c r="F775" s="11" t="s">
        <v>4257</v>
      </c>
      <c r="G775" s="11" t="s">
        <v>4258</v>
      </c>
      <c r="H775" s="12"/>
      <c r="I775" s="13">
        <v>2</v>
      </c>
      <c r="J775" s="13">
        <v>2</v>
      </c>
      <c r="K775" s="14" t="str">
        <f>HYPERLINK("http://snappytv.com","SnappyTV.com")</f>
        <v>SnappyTV.com</v>
      </c>
      <c r="L775" s="13">
        <v>21401</v>
      </c>
      <c r="M775" s="13">
        <v>117</v>
      </c>
      <c r="N775" s="13">
        <v>347</v>
      </c>
      <c r="O775" s="18" t="s">
        <v>36</v>
      </c>
      <c r="P775" s="6">
        <v>41156.546666666669</v>
      </c>
      <c r="Q775" s="16" t="s">
        <v>496</v>
      </c>
      <c r="R775" s="17" t="s">
        <v>4261</v>
      </c>
      <c r="S775" s="11" t="s">
        <v>4262</v>
      </c>
      <c r="T775" s="12"/>
      <c r="U775" s="10" t="str">
        <f>HYPERLINK("https://pbs.twimg.com/profile_images/1036651148000813056/VI5-6V6y.jpg","View")</f>
        <v>View</v>
      </c>
    </row>
    <row r="776" spans="1:21" ht="30.6">
      <c r="A776" s="6">
        <v>43426.35836805556</v>
      </c>
      <c r="B776" s="7" t="str">
        <f>HYPERLINK("https://twitter.com/bicicletagris","@bicicletagris")</f>
        <v>@bicicletagris</v>
      </c>
      <c r="C776" s="8" t="s">
        <v>4267</v>
      </c>
      <c r="D776" s="9" t="s">
        <v>4268</v>
      </c>
      <c r="E776" s="10" t="str">
        <f>HYPERLINK("https://twitter.com/bicicletagris/status/1065509195435397122","1065509195435397122")</f>
        <v>1065509195435397122</v>
      </c>
      <c r="F776" s="12"/>
      <c r="G776" s="12"/>
      <c r="H776" s="12"/>
      <c r="I776" s="13">
        <v>22</v>
      </c>
      <c r="J776" s="13">
        <v>34</v>
      </c>
      <c r="K776" s="14" t="str">
        <f>HYPERLINK("http://twitter.com","Twitter Web Client")</f>
        <v>Twitter Web Client</v>
      </c>
      <c r="L776" s="13">
        <v>3097</v>
      </c>
      <c r="M776" s="13">
        <v>1049</v>
      </c>
      <c r="N776" s="13">
        <v>21</v>
      </c>
      <c r="O776" s="15"/>
      <c r="P776" s="6">
        <v>42324.8675</v>
      </c>
      <c r="Q776" s="12"/>
      <c r="R776" s="17" t="s">
        <v>4270</v>
      </c>
      <c r="S776" s="12"/>
      <c r="T776" s="12"/>
      <c r="U776" s="10" t="str">
        <f>HYPERLINK("https://pbs.twimg.com/profile_images/881421113280122880/CCg0SvJs.jpg","View")</f>
        <v>View</v>
      </c>
    </row>
    <row r="777" spans="1:21" ht="20.399999999999999">
      <c r="A777" s="6">
        <v>43426.353055555555</v>
      </c>
      <c r="B777" s="7" t="str">
        <f>HYPERLINK("https://twitter.com/Yo_Soy_Asin","@Yo_Soy_Asin")</f>
        <v>@Yo_Soy_Asin</v>
      </c>
      <c r="C777" s="8" t="s">
        <v>2005</v>
      </c>
      <c r="D777" s="9" t="s">
        <v>2006</v>
      </c>
      <c r="E777" s="10" t="str">
        <f>HYPERLINK("https://twitter.com/Yo_Soy_Asin/status/1065507270723862528","1065507270723862528")</f>
        <v>1065507270723862528</v>
      </c>
      <c r="F777" s="12"/>
      <c r="G777" s="11" t="s">
        <v>2007</v>
      </c>
      <c r="H777" s="12"/>
      <c r="I777" s="13">
        <v>49</v>
      </c>
      <c r="J777" s="13">
        <v>27</v>
      </c>
      <c r="K777" s="14" t="str">
        <f>HYPERLINK("http://twitter.com/download/android","Twitter for Android")</f>
        <v>Twitter for Android</v>
      </c>
      <c r="L777" s="13">
        <v>31333</v>
      </c>
      <c r="M777" s="13">
        <v>8272</v>
      </c>
      <c r="N777" s="13">
        <v>305</v>
      </c>
      <c r="O777" s="15"/>
      <c r="P777" s="6">
        <v>41967.764976851853</v>
      </c>
      <c r="Q777" s="16" t="s">
        <v>2008</v>
      </c>
      <c r="R777" s="17" t="s">
        <v>2009</v>
      </c>
      <c r="S777" s="12"/>
      <c r="T777" s="12"/>
      <c r="U777" s="10" t="str">
        <f>HYPERLINK("https://pbs.twimg.com/profile_images/1048246938641059840/dCLHzACC.jpg","View")</f>
        <v>View</v>
      </c>
    </row>
    <row r="778" spans="1:21" ht="51">
      <c r="A778" s="6">
        <v>43426.339363425926</v>
      </c>
      <c r="B778" s="7" t="str">
        <f>HYPERLINK("https://twitter.com/homografix","@homografix")</f>
        <v>@homografix</v>
      </c>
      <c r="C778" s="8" t="s">
        <v>4272</v>
      </c>
      <c r="D778" s="9" t="s">
        <v>4273</v>
      </c>
      <c r="E778" s="10" t="str">
        <f>HYPERLINK("https://twitter.com/homografix/status/1065502309021614082","1065502309021614082")</f>
        <v>1065502309021614082</v>
      </c>
      <c r="F778" s="12"/>
      <c r="G778" s="12"/>
      <c r="H778" s="12"/>
      <c r="I778" s="13">
        <v>0</v>
      </c>
      <c r="J778" s="13">
        <v>1</v>
      </c>
      <c r="K778" s="14" t="str">
        <f>HYPERLINK("https://mobile.twitter.com","Twitter Lite")</f>
        <v>Twitter Lite</v>
      </c>
      <c r="L778" s="13">
        <v>501</v>
      </c>
      <c r="M778" s="13">
        <v>519</v>
      </c>
      <c r="N778" s="13">
        <v>13</v>
      </c>
      <c r="O778" s="15"/>
      <c r="P778" s="6">
        <v>42307.766608796301</v>
      </c>
      <c r="Q778" s="16" t="s">
        <v>4276</v>
      </c>
      <c r="R778" s="17" t="s">
        <v>4277</v>
      </c>
      <c r="S778" s="11" t="s">
        <v>4278</v>
      </c>
      <c r="T778" s="12"/>
      <c r="U778" s="10" t="str">
        <f>HYPERLINK("https://pbs.twimg.com/profile_images/663075355859812352/6U6uix_J.jpg","View")</f>
        <v>View</v>
      </c>
    </row>
    <row r="779" spans="1:21" ht="51">
      <c r="A779" s="6">
        <v>43426.338078703702</v>
      </c>
      <c r="B779" s="7" t="str">
        <f>HYPERLINK("https://twitter.com/trendinaliaES","@trendinaliaES")</f>
        <v>@trendinaliaES</v>
      </c>
      <c r="C779" s="8" t="s">
        <v>670</v>
      </c>
      <c r="D779" s="9" t="s">
        <v>2012</v>
      </c>
      <c r="E779" s="10" t="str">
        <f>HYPERLINK("https://twitter.com/trendinaliaES/status/1065501845471121409","1065501845471121409")</f>
        <v>1065501845471121409</v>
      </c>
      <c r="F779" s="11" t="s">
        <v>2013</v>
      </c>
      <c r="G779" s="12"/>
      <c r="H779" s="12" t="str">
        <f>HYPERLINK("https://ctrlq.org/maps/address/#40.4203,-3.7058","Map")</f>
        <v>Map</v>
      </c>
      <c r="I779" s="13">
        <v>0</v>
      </c>
      <c r="J779" s="13">
        <v>0</v>
      </c>
      <c r="K779" s="14" t="str">
        <f>HYPERLINK("http://laconversa.com","Es Tendencia en España")</f>
        <v>Es Tendencia en España</v>
      </c>
      <c r="L779" s="13">
        <v>49141</v>
      </c>
      <c r="M779" s="13">
        <v>37</v>
      </c>
      <c r="N779" s="13">
        <v>723</v>
      </c>
      <c r="O779" s="18" t="s">
        <v>36</v>
      </c>
      <c r="P779" s="6">
        <v>41319.819074074076</v>
      </c>
      <c r="Q779" s="16" t="s">
        <v>37</v>
      </c>
      <c r="R779" s="17" t="s">
        <v>675</v>
      </c>
      <c r="S779" s="11" t="s">
        <v>676</v>
      </c>
      <c r="T779" s="12"/>
      <c r="U779" s="10" t="str">
        <f>HYPERLINK("https://pbs.twimg.com/profile_images/696485210821632000/xpdMQ_mE.png","View")</f>
        <v>View</v>
      </c>
    </row>
    <row r="780" spans="1:21" ht="51">
      <c r="A780" s="6">
        <v>43426.334386574075</v>
      </c>
      <c r="B780" s="7" t="str">
        <f>HYPERLINK("https://twitter.com/Durruti1980","@Durruti1980")</f>
        <v>@Durruti1980</v>
      </c>
      <c r="C780" s="8" t="s">
        <v>4284</v>
      </c>
      <c r="D780" s="9" t="s">
        <v>4286</v>
      </c>
      <c r="E780" s="10" t="str">
        <f>HYPERLINK("https://twitter.com/Durruti1980/status/1065500504845897728","1065500504845897728")</f>
        <v>1065500504845897728</v>
      </c>
      <c r="F780" s="12"/>
      <c r="G780" s="11" t="s">
        <v>4288</v>
      </c>
      <c r="H780" s="12"/>
      <c r="I780" s="13">
        <v>3</v>
      </c>
      <c r="J780" s="13">
        <v>6</v>
      </c>
      <c r="K780" s="14" t="str">
        <f>HYPERLINK("http://twitter.com","Twitter Web Client")</f>
        <v>Twitter Web Client</v>
      </c>
      <c r="L780" s="13">
        <v>1514</v>
      </c>
      <c r="M780" s="13">
        <v>378</v>
      </c>
      <c r="N780" s="13">
        <v>17</v>
      </c>
      <c r="O780" s="15"/>
      <c r="P780" s="6">
        <v>41123.789861111109</v>
      </c>
      <c r="Q780" s="12"/>
      <c r="R780" s="17" t="s">
        <v>4290</v>
      </c>
      <c r="S780" s="12"/>
      <c r="T780" s="12"/>
      <c r="U780" s="10" t="str">
        <f>HYPERLINK("https://pbs.twimg.com/profile_images/559343191212957696/WkFdAW11.jpeg","View")</f>
        <v>View</v>
      </c>
    </row>
    <row r="781" spans="1:21" ht="51">
      <c r="A781" s="6">
        <v>43426.332835648151</v>
      </c>
      <c r="B781" s="7" t="str">
        <f>HYPERLINK("https://twitter.com/catiberic","@catiberic")</f>
        <v>@catiberic</v>
      </c>
      <c r="C781" s="8" t="s">
        <v>2017</v>
      </c>
      <c r="D781" s="9" t="s">
        <v>2018</v>
      </c>
      <c r="E781" s="10" t="str">
        <f>HYPERLINK("https://twitter.com/catiberic/status/1065499944876994560","1065499944876994560")</f>
        <v>1065499944876994560</v>
      </c>
      <c r="F781" s="12"/>
      <c r="G781" s="11" t="s">
        <v>2019</v>
      </c>
      <c r="H781" s="12"/>
      <c r="I781" s="13">
        <v>0</v>
      </c>
      <c r="J781" s="13">
        <v>3</v>
      </c>
      <c r="K781" s="14" t="str">
        <f t="shared" ref="K781:K782" si="154">HYPERLINK("http://twitter.com/download/android","Twitter for Android")</f>
        <v>Twitter for Android</v>
      </c>
      <c r="L781" s="13">
        <v>522</v>
      </c>
      <c r="M781" s="13">
        <v>599</v>
      </c>
      <c r="N781" s="13">
        <v>1</v>
      </c>
      <c r="O781" s="15"/>
      <c r="P781" s="6">
        <v>43107.03225694444</v>
      </c>
      <c r="Q781" s="12"/>
      <c r="R781" s="17" t="s">
        <v>2024</v>
      </c>
      <c r="S781" s="12"/>
      <c r="T781" s="12"/>
      <c r="U781" s="10" t="str">
        <f>HYPERLINK("https://pbs.twimg.com/profile_images/1041018260823728128/OoNgFG9b.jpg","View")</f>
        <v>View</v>
      </c>
    </row>
    <row r="782" spans="1:21" ht="40.799999999999997">
      <c r="A782" s="6">
        <v>43426.332141203704</v>
      </c>
      <c r="B782" s="7" t="str">
        <f>HYPERLINK("https://twitter.com/luisbeltri","@luisbeltri")</f>
        <v>@luisbeltri</v>
      </c>
      <c r="C782" s="8" t="s">
        <v>205</v>
      </c>
      <c r="D782" s="9" t="s">
        <v>4297</v>
      </c>
      <c r="E782" s="10" t="str">
        <f>HYPERLINK("https://twitter.com/luisbeltri/status/1065499691025137664","1065499691025137664")</f>
        <v>1065499691025137664</v>
      </c>
      <c r="F782" s="12"/>
      <c r="G782" s="12"/>
      <c r="H782" s="12"/>
      <c r="I782" s="13">
        <v>12</v>
      </c>
      <c r="J782" s="13">
        <v>28</v>
      </c>
      <c r="K782" s="14" t="str">
        <f t="shared" si="154"/>
        <v>Twitter for Android</v>
      </c>
      <c r="L782" s="13">
        <v>28078</v>
      </c>
      <c r="M782" s="13">
        <v>18407</v>
      </c>
      <c r="N782" s="13">
        <v>195</v>
      </c>
      <c r="O782" s="15"/>
      <c r="P782" s="6">
        <v>40018.954016203701</v>
      </c>
      <c r="Q782" s="16" t="s">
        <v>208</v>
      </c>
      <c r="R782" s="17" t="s">
        <v>209</v>
      </c>
      <c r="S782" s="12"/>
      <c r="T782" s="12"/>
      <c r="U782" s="10" t="str">
        <f>HYPERLINK("https://pbs.twimg.com/profile_images/1028220595404787712/uTQd5ZiU.jpg","View")</f>
        <v>View</v>
      </c>
    </row>
    <row r="783" spans="1:21" ht="30.6">
      <c r="A783" s="6">
        <v>43426.331886574073</v>
      </c>
      <c r="B783" s="7" t="str">
        <f>HYPERLINK("https://twitter.com/alexlifepink","@alexlifepink")</f>
        <v>@alexlifepink</v>
      </c>
      <c r="C783" s="8" t="s">
        <v>4300</v>
      </c>
      <c r="D783" s="9" t="s">
        <v>4301</v>
      </c>
      <c r="E783" s="10" t="str">
        <f>HYPERLINK("https://twitter.com/alexlifepink/status/1065499602672148480","1065499602672148480")</f>
        <v>1065499602672148480</v>
      </c>
      <c r="F783" s="11" t="s">
        <v>4302</v>
      </c>
      <c r="G783" s="12"/>
      <c r="H783" s="12"/>
      <c r="I783" s="13">
        <v>0</v>
      </c>
      <c r="J783" s="13">
        <v>0</v>
      </c>
      <c r="K783" s="14" t="str">
        <f>HYPERLINK("https://www.google.com/","Google")</f>
        <v>Google</v>
      </c>
      <c r="L783" s="13">
        <v>1896</v>
      </c>
      <c r="M783" s="13">
        <v>2843</v>
      </c>
      <c r="N783" s="13">
        <v>28</v>
      </c>
      <c r="O783" s="15"/>
      <c r="P783" s="6">
        <v>40553.725555555553</v>
      </c>
      <c r="Q783" s="16" t="s">
        <v>366</v>
      </c>
      <c r="R783" s="17" t="s">
        <v>4304</v>
      </c>
      <c r="S783" s="11" t="s">
        <v>4306</v>
      </c>
      <c r="T783" s="12"/>
      <c r="U783" s="10" t="str">
        <f>HYPERLINK("https://pbs.twimg.com/profile_images/1052516923655647233/NMPdVnft.jpg","View")</f>
        <v>View</v>
      </c>
    </row>
    <row r="784" spans="1:21" ht="20.399999999999999">
      <c r="A784" s="6">
        <v>43426.32811342593</v>
      </c>
      <c r="B784" s="7" t="str">
        <f>HYPERLINK("https://twitter.com/Julianmendoza68","@Julianmendoza68")</f>
        <v>@Julianmendoza68</v>
      </c>
      <c r="C784" s="8" t="s">
        <v>4307</v>
      </c>
      <c r="D784" s="9" t="s">
        <v>4308</v>
      </c>
      <c r="E784" s="10" t="str">
        <f>HYPERLINK("https://twitter.com/Julianmendoza68/status/1065498232762052608","1065498232762052608")</f>
        <v>1065498232762052608</v>
      </c>
      <c r="F784" s="11" t="s">
        <v>1228</v>
      </c>
      <c r="G784" s="12"/>
      <c r="H784" s="12"/>
      <c r="I784" s="13">
        <v>1</v>
      </c>
      <c r="J784" s="13">
        <v>1</v>
      </c>
      <c r="K784" s="14" t="str">
        <f>HYPERLINK("http://twitter.com","Twitter Web Client")</f>
        <v>Twitter Web Client</v>
      </c>
      <c r="L784" s="13">
        <v>1304</v>
      </c>
      <c r="M784" s="13">
        <v>2209</v>
      </c>
      <c r="N784" s="13">
        <v>18</v>
      </c>
      <c r="O784" s="15"/>
      <c r="P784" s="6">
        <v>40498.58357638889</v>
      </c>
      <c r="Q784" s="16" t="s">
        <v>4310</v>
      </c>
      <c r="R784" s="17" t="s">
        <v>4311</v>
      </c>
      <c r="S784" s="12"/>
      <c r="T784" s="12"/>
      <c r="U784" s="10" t="str">
        <f>HYPERLINK("https://pbs.twimg.com/profile_images/674863140975284224/O97hj5Nf.jpg","View")</f>
        <v>View</v>
      </c>
    </row>
    <row r="785" spans="1:21" ht="51">
      <c r="A785" s="6">
        <v>43426.327048611114</v>
      </c>
      <c r="B785" s="7" t="str">
        <f t="shared" ref="B785:B786" si="155">HYPERLINK("https://twitter.com/joansafontt","@joansafontt")</f>
        <v>@joansafontt</v>
      </c>
      <c r="C785" s="8" t="s">
        <v>2025</v>
      </c>
      <c r="D785" s="9" t="s">
        <v>2026</v>
      </c>
      <c r="E785" s="10" t="str">
        <f>HYPERLINK("https://twitter.com/joansafontt/status/1065497846634463232","1065497846634463232")</f>
        <v>1065497846634463232</v>
      </c>
      <c r="F785" s="12"/>
      <c r="G785" s="11" t="s">
        <v>2027</v>
      </c>
      <c r="H785" s="12"/>
      <c r="I785" s="13">
        <v>1</v>
      </c>
      <c r="J785" s="13">
        <v>1</v>
      </c>
      <c r="K785" s="14" t="str">
        <f t="shared" ref="K785:K786" si="156">HYPERLINK("http://twitter.com/download/iphone","Twitter for iPhone")</f>
        <v>Twitter for iPhone</v>
      </c>
      <c r="L785" s="13">
        <v>1648</v>
      </c>
      <c r="M785" s="13">
        <v>4989</v>
      </c>
      <c r="N785" s="13">
        <v>10</v>
      </c>
      <c r="O785" s="15"/>
      <c r="P785" s="6">
        <v>40451.66673611111</v>
      </c>
      <c r="Q785" s="16" t="s">
        <v>2028</v>
      </c>
      <c r="R785" s="17" t="s">
        <v>2029</v>
      </c>
      <c r="S785" s="11" t="s">
        <v>2030</v>
      </c>
      <c r="T785" s="12"/>
      <c r="U785" s="10" t="str">
        <f t="shared" ref="U785:U786" si="157">HYPERLINK("https://pbs.twimg.com/profile_images/910944986501451777/zumgunJt.jpg","View")</f>
        <v>View</v>
      </c>
    </row>
    <row r="786" spans="1:21" ht="40.799999999999997">
      <c r="A786" s="6">
        <v>43426.326041666667</v>
      </c>
      <c r="B786" s="7" t="str">
        <f t="shared" si="155"/>
        <v>@joansafontt</v>
      </c>
      <c r="C786" s="8" t="s">
        <v>2025</v>
      </c>
      <c r="D786" s="9" t="s">
        <v>2031</v>
      </c>
      <c r="E786" s="10" t="str">
        <f>HYPERLINK("https://twitter.com/joansafontt/status/1065497481507688448","1065497481507688448")</f>
        <v>1065497481507688448</v>
      </c>
      <c r="F786" s="12"/>
      <c r="G786" s="11" t="s">
        <v>2032</v>
      </c>
      <c r="H786" s="12"/>
      <c r="I786" s="13">
        <v>9</v>
      </c>
      <c r="J786" s="13">
        <v>11</v>
      </c>
      <c r="K786" s="14" t="str">
        <f t="shared" si="156"/>
        <v>Twitter for iPhone</v>
      </c>
      <c r="L786" s="13">
        <v>1648</v>
      </c>
      <c r="M786" s="13">
        <v>4989</v>
      </c>
      <c r="N786" s="13">
        <v>10</v>
      </c>
      <c r="O786" s="15"/>
      <c r="P786" s="6">
        <v>40451.66673611111</v>
      </c>
      <c r="Q786" s="16" t="s">
        <v>2028</v>
      </c>
      <c r="R786" s="17" t="s">
        <v>2029</v>
      </c>
      <c r="S786" s="11" t="s">
        <v>2030</v>
      </c>
      <c r="T786" s="12"/>
      <c r="U786" s="10" t="str">
        <f t="shared" si="157"/>
        <v>View</v>
      </c>
    </row>
    <row r="787" spans="1:21" ht="40.799999999999997">
      <c r="A787" s="6">
        <v>43426.32303240741</v>
      </c>
      <c r="B787" s="7" t="str">
        <f>HYPERLINK("https://twitter.com/Franciscoalbac3","@Franciscoalbac3")</f>
        <v>@Franciscoalbac3</v>
      </c>
      <c r="C787" s="8" t="s">
        <v>1767</v>
      </c>
      <c r="D787" s="9" t="s">
        <v>2033</v>
      </c>
      <c r="E787" s="10" t="str">
        <f>HYPERLINK("https://twitter.com/Franciscoalbac3/status/1065496392750297088","1065496392750297088")</f>
        <v>1065496392750297088</v>
      </c>
      <c r="F787" s="11" t="s">
        <v>2034</v>
      </c>
      <c r="G787" s="12"/>
      <c r="H787" s="12"/>
      <c r="I787" s="13">
        <v>0</v>
      </c>
      <c r="J787" s="13">
        <v>0</v>
      </c>
      <c r="K787" s="14" t="str">
        <f t="shared" ref="K787:K788" si="158">HYPERLINK("http://twitter.com/download/android","Twitter for Android")</f>
        <v>Twitter for Android</v>
      </c>
      <c r="L787" s="13">
        <v>372</v>
      </c>
      <c r="M787" s="13">
        <v>942</v>
      </c>
      <c r="N787" s="13">
        <v>0</v>
      </c>
      <c r="O787" s="15"/>
      <c r="P787" s="6">
        <v>43374.81045138889</v>
      </c>
      <c r="Q787" s="16" t="s">
        <v>366</v>
      </c>
      <c r="R787" s="17" t="s">
        <v>1769</v>
      </c>
      <c r="S787" s="12"/>
      <c r="T787" s="12"/>
      <c r="U787" s="10" t="str">
        <f>HYPERLINK("https://pbs.twimg.com/profile_images/1046818958786088961/vDXcbRmG.jpg","View")</f>
        <v>View</v>
      </c>
    </row>
    <row r="788" spans="1:21" ht="40.799999999999997">
      <c r="A788" s="6">
        <v>43426.318541666667</v>
      </c>
      <c r="B788" s="7" t="str">
        <f>HYPERLINK("https://twitter.com/Lazkaokopatxi","@Lazkaokopatxi")</f>
        <v>@Lazkaokopatxi</v>
      </c>
      <c r="C788" s="8" t="s">
        <v>4319</v>
      </c>
      <c r="D788" s="9" t="s">
        <v>4320</v>
      </c>
      <c r="E788" s="10" t="str">
        <f>HYPERLINK("https://twitter.com/Lazkaokopatxi/status/1065494765012246528","1065494765012246528")</f>
        <v>1065494765012246528</v>
      </c>
      <c r="F788" s="12"/>
      <c r="G788" s="12"/>
      <c r="H788" s="12"/>
      <c r="I788" s="13">
        <v>0</v>
      </c>
      <c r="J788" s="13">
        <v>0</v>
      </c>
      <c r="K788" s="14" t="str">
        <f t="shared" si="158"/>
        <v>Twitter for Android</v>
      </c>
      <c r="L788" s="13">
        <v>52</v>
      </c>
      <c r="M788" s="13">
        <v>442</v>
      </c>
      <c r="N788" s="13">
        <v>0</v>
      </c>
      <c r="O788" s="15"/>
      <c r="P788" s="6">
        <v>42666.98501157407</v>
      </c>
      <c r="Q788" s="16" t="s">
        <v>4325</v>
      </c>
      <c r="R788" s="17" t="s">
        <v>4326</v>
      </c>
      <c r="S788" s="12"/>
      <c r="T788" s="12"/>
      <c r="U788" s="10" t="str">
        <f>HYPERLINK("https://pbs.twimg.com/profile_images/798305521338093572/23MxA1sG.jpg","View")</f>
        <v>View</v>
      </c>
    </row>
    <row r="789" spans="1:21" ht="20.399999999999999">
      <c r="A789" s="6">
        <v>43426.316307870366</v>
      </c>
      <c r="B789" s="7" t="str">
        <f>HYPERLINK("https://twitter.com/AgustinCarrer19","@AgustinCarrer19")</f>
        <v>@AgustinCarrer19</v>
      </c>
      <c r="C789" s="8" t="s">
        <v>4329</v>
      </c>
      <c r="D789" s="9" t="s">
        <v>1697</v>
      </c>
      <c r="E789" s="10" t="str">
        <f>HYPERLINK("https://twitter.com/AgustinCarrer19/status/1065493953791909888","1065493953791909888")</f>
        <v>1065493953791909888</v>
      </c>
      <c r="F789" s="11" t="s">
        <v>1700</v>
      </c>
      <c r="G789" s="12"/>
      <c r="H789" s="12"/>
      <c r="I789" s="13">
        <v>0</v>
      </c>
      <c r="J789" s="13">
        <v>0</v>
      </c>
      <c r="K789" s="14" t="str">
        <f>HYPERLINK("http://twitter.com","Twitter Web Client")</f>
        <v>Twitter Web Client</v>
      </c>
      <c r="L789" s="13">
        <v>211</v>
      </c>
      <c r="M789" s="13">
        <v>307</v>
      </c>
      <c r="N789" s="13">
        <v>8</v>
      </c>
      <c r="O789" s="15"/>
      <c r="P789" s="6">
        <v>41725.527962962966</v>
      </c>
      <c r="Q789" s="16" t="s">
        <v>4332</v>
      </c>
      <c r="R789" s="17" t="s">
        <v>4333</v>
      </c>
      <c r="S789" s="12"/>
      <c r="T789" s="12"/>
      <c r="U789" s="10" t="str">
        <f>HYPERLINK("https://pbs.twimg.com/profile_images/1060630217209847809/2yH8Q-Cz.jpg","View")</f>
        <v>View</v>
      </c>
    </row>
    <row r="790" spans="1:21" ht="20.399999999999999">
      <c r="A790" s="6">
        <v>43426.315578703703</v>
      </c>
      <c r="B790" s="7" t="str">
        <f>HYPERLINK("https://twitter.com/ElPadreDeBrian","@ElPadreDeBrian")</f>
        <v>@ElPadreDeBrian</v>
      </c>
      <c r="C790" s="8" t="s">
        <v>4335</v>
      </c>
      <c r="D790" s="9" t="s">
        <v>4337</v>
      </c>
      <c r="E790" s="10" t="str">
        <f>HYPERLINK("https://twitter.com/ElPadreDeBrian/status/1065493691916263425","1065493691916263425")</f>
        <v>1065493691916263425</v>
      </c>
      <c r="F790" s="12"/>
      <c r="G790" s="12"/>
      <c r="H790" s="12"/>
      <c r="I790" s="13">
        <v>0</v>
      </c>
      <c r="J790" s="13">
        <v>2</v>
      </c>
      <c r="K790" s="14" t="str">
        <f>HYPERLINK("http://twitter.com/download/android","Twitter for Android")</f>
        <v>Twitter for Android</v>
      </c>
      <c r="L790" s="13">
        <v>2596</v>
      </c>
      <c r="M790" s="13">
        <v>159</v>
      </c>
      <c r="N790" s="13">
        <v>11</v>
      </c>
      <c r="O790" s="15"/>
      <c r="P790" s="6">
        <v>40683.424976851849</v>
      </c>
      <c r="Q790" s="16" t="s">
        <v>4338</v>
      </c>
      <c r="R790" s="17" t="s">
        <v>4339</v>
      </c>
      <c r="S790" s="12"/>
      <c r="T790" s="12"/>
      <c r="U790" s="10" t="str">
        <f>HYPERLINK("https://pbs.twimg.com/profile_images/818226988930498563/P018WoWJ.jpg","View")</f>
        <v>View</v>
      </c>
    </row>
    <row r="791" spans="1:21" ht="20.399999999999999">
      <c r="A791" s="6">
        <v>43426.312708333338</v>
      </c>
      <c r="B791" s="7" t="str">
        <f>HYPERLINK("https://twitter.com/jesuspedreira","@jesuspedreira")</f>
        <v>@jesuspedreira</v>
      </c>
      <c r="C791" s="8" t="s">
        <v>4343</v>
      </c>
      <c r="D791" s="9" t="s">
        <v>1963</v>
      </c>
      <c r="E791" s="10" t="str">
        <f>HYPERLINK("https://twitter.com/jesuspedreira/status/1065492649673658368","1065492649673658368")</f>
        <v>1065492649673658368</v>
      </c>
      <c r="F791" s="11" t="s">
        <v>1700</v>
      </c>
      <c r="G791" s="12"/>
      <c r="H791" s="12"/>
      <c r="I791" s="13">
        <v>0</v>
      </c>
      <c r="J791" s="13">
        <v>0</v>
      </c>
      <c r="K791" s="14" t="str">
        <f>HYPERLINK("http://twitter.com/download/iphone","Twitter for iPhone")</f>
        <v>Twitter for iPhone</v>
      </c>
      <c r="L791" s="13">
        <v>1513</v>
      </c>
      <c r="M791" s="13">
        <v>2473</v>
      </c>
      <c r="N791" s="13">
        <v>38</v>
      </c>
      <c r="O791" s="15"/>
      <c r="P791" s="6">
        <v>40628.702615740738</v>
      </c>
      <c r="Q791" s="16" t="s">
        <v>4345</v>
      </c>
      <c r="R791" s="19"/>
      <c r="S791" s="12"/>
      <c r="T791" s="12"/>
      <c r="U791" s="10" t="str">
        <f>HYPERLINK("https://pbs.twimg.com/profile_images/937409011586134016/bh9BxM24.jpg","View")</f>
        <v>View</v>
      </c>
    </row>
    <row r="792" spans="1:21" ht="40.799999999999997">
      <c r="A792" s="6">
        <v>43426.304849537039</v>
      </c>
      <c r="B792" s="7" t="str">
        <f>HYPERLINK("https://twitter.com/_Marineda","@_Marineda")</f>
        <v>@_Marineda</v>
      </c>
      <c r="C792" s="8" t="s">
        <v>4348</v>
      </c>
      <c r="D792" s="9" t="s">
        <v>4349</v>
      </c>
      <c r="E792" s="10" t="str">
        <f>HYPERLINK("https://twitter.com/_Marineda/status/1065489801779048449","1065489801779048449")</f>
        <v>1065489801779048449</v>
      </c>
      <c r="F792" s="11" t="s">
        <v>4352</v>
      </c>
      <c r="G792" s="12"/>
      <c r="H792" s="12"/>
      <c r="I792" s="13">
        <v>0</v>
      </c>
      <c r="J792" s="13">
        <v>0</v>
      </c>
      <c r="K792" s="14" t="str">
        <f>HYPERLINK("http://twitter.com","Twitter Web Client")</f>
        <v>Twitter Web Client</v>
      </c>
      <c r="L792" s="13">
        <v>253</v>
      </c>
      <c r="M792" s="13">
        <v>232</v>
      </c>
      <c r="N792" s="13">
        <v>8</v>
      </c>
      <c r="O792" s="15"/>
      <c r="P792" s="6">
        <v>40790.027685185181</v>
      </c>
      <c r="Q792" s="16" t="s">
        <v>37</v>
      </c>
      <c r="R792" s="17" t="s">
        <v>4353</v>
      </c>
      <c r="S792" s="12"/>
      <c r="T792" s="12"/>
      <c r="U792" s="10" t="str">
        <f>HYPERLINK("https://pbs.twimg.com/profile_images/1059904637011136518/14WZ8OtZ.jpg","View")</f>
        <v>View</v>
      </c>
    </row>
    <row r="793" spans="1:21" ht="30.6">
      <c r="A793" s="6">
        <v>43426.301828703705</v>
      </c>
      <c r="B793" s="7" t="str">
        <f>HYPERLINK("https://twitter.com/ajm74ajm","@ajm74ajm")</f>
        <v>@ajm74ajm</v>
      </c>
      <c r="C793" s="8" t="s">
        <v>1376</v>
      </c>
      <c r="D793" s="9" t="s">
        <v>556</v>
      </c>
      <c r="E793" s="10" t="str">
        <f>HYPERLINK("https://twitter.com/ajm74ajm/status/1065488708714012674","1065488708714012674")</f>
        <v>1065488708714012674</v>
      </c>
      <c r="F793" s="11" t="s">
        <v>557</v>
      </c>
      <c r="G793" s="12"/>
      <c r="H793" s="12"/>
      <c r="I793" s="13">
        <v>1</v>
      </c>
      <c r="J793" s="13">
        <v>1</v>
      </c>
      <c r="K793" s="14" t="str">
        <f>HYPERLINK("http://twitter.com/download/iphone","Twitter for iPhone")</f>
        <v>Twitter for iPhone</v>
      </c>
      <c r="L793" s="13">
        <v>620</v>
      </c>
      <c r="M793" s="13">
        <v>704</v>
      </c>
      <c r="N793" s="13">
        <v>3</v>
      </c>
      <c r="O793" s="15"/>
      <c r="P793" s="6">
        <v>42632.990706018521</v>
      </c>
      <c r="Q793" s="16" t="s">
        <v>181</v>
      </c>
      <c r="R793" s="17" t="s">
        <v>4359</v>
      </c>
      <c r="S793" s="12"/>
      <c r="T793" s="12"/>
      <c r="U793" s="10" t="str">
        <f>HYPERLINK("https://pbs.twimg.com/profile_images/1014964583436574720/mJWiJwv9.jpg","View")</f>
        <v>View</v>
      </c>
    </row>
    <row r="794" spans="1:21" ht="61.2">
      <c r="A794" s="6">
        <v>43426.299976851849</v>
      </c>
      <c r="B794" s="7" t="str">
        <f>HYPERLINK("https://twitter.com/cavernacubica","@cavernacubica")</f>
        <v>@cavernacubica</v>
      </c>
      <c r="C794" s="8" t="s">
        <v>4361</v>
      </c>
      <c r="D794" s="9" t="s">
        <v>4362</v>
      </c>
      <c r="E794" s="10" t="str">
        <f>HYPERLINK("https://twitter.com/cavernacubica/status/1065488035893121024","1065488035893121024")</f>
        <v>1065488035893121024</v>
      </c>
      <c r="F794" s="11" t="s">
        <v>4239</v>
      </c>
      <c r="G794" s="12"/>
      <c r="H794" s="12"/>
      <c r="I794" s="13">
        <v>0</v>
      </c>
      <c r="J794" s="13">
        <v>0</v>
      </c>
      <c r="K794" s="14" t="str">
        <f>HYPERLINK("http://twitter.com/download/android","Twitter for Android")</f>
        <v>Twitter for Android</v>
      </c>
      <c r="L794" s="13">
        <v>2280</v>
      </c>
      <c r="M794" s="13">
        <v>3891</v>
      </c>
      <c r="N794" s="13">
        <v>77</v>
      </c>
      <c r="O794" s="15"/>
      <c r="P794" s="6">
        <v>40572.789050925923</v>
      </c>
      <c r="Q794" s="16" t="s">
        <v>263</v>
      </c>
      <c r="R794" s="17" t="s">
        <v>4366</v>
      </c>
      <c r="S794" s="11" t="s">
        <v>4367</v>
      </c>
      <c r="T794" s="12"/>
      <c r="U794" s="10" t="str">
        <f>HYPERLINK("https://pbs.twimg.com/profile_images/839367232677425152/9krS0CkF.jpg","View")</f>
        <v>View</v>
      </c>
    </row>
    <row r="795" spans="1:21" ht="40.799999999999997">
      <c r="A795" s="6">
        <v>43426.28837962963</v>
      </c>
      <c r="B795" s="7" t="str">
        <f>HYPERLINK("https://twitter.com/AdeSiracusa","@AdeSiracusa")</f>
        <v>@AdeSiracusa</v>
      </c>
      <c r="C795" s="8" t="s">
        <v>3946</v>
      </c>
      <c r="D795" s="9" t="s">
        <v>4370</v>
      </c>
      <c r="E795" s="10" t="str">
        <f>HYPERLINK("https://twitter.com/AdeSiracusa/status/1065483835482259456","1065483835482259456")</f>
        <v>1065483835482259456</v>
      </c>
      <c r="F795" s="11" t="s">
        <v>4374</v>
      </c>
      <c r="G795" s="12"/>
      <c r="H795" s="12"/>
      <c r="I795" s="13">
        <v>0</v>
      </c>
      <c r="J795" s="13">
        <v>0</v>
      </c>
      <c r="K795" s="14" t="str">
        <f>HYPERLINK("http://www.republicosvenezuela.com/","AdeSiracusa")</f>
        <v>AdeSiracusa</v>
      </c>
      <c r="L795" s="13">
        <v>3920</v>
      </c>
      <c r="M795" s="13">
        <v>3927</v>
      </c>
      <c r="N795" s="13">
        <v>12</v>
      </c>
      <c r="O795" s="15"/>
      <c r="P795" s="6">
        <v>42958.576388888891</v>
      </c>
      <c r="Q795" s="16" t="s">
        <v>978</v>
      </c>
      <c r="R795" s="17" t="s">
        <v>3950</v>
      </c>
      <c r="S795" s="12"/>
      <c r="T795" s="12"/>
      <c r="U795" s="10" t="str">
        <f>HYPERLINK("https://pbs.twimg.com/profile_images/895978354591105024/x2wNXrPl.jpg","View")</f>
        <v>View</v>
      </c>
    </row>
    <row r="796" spans="1:21" ht="30.6">
      <c r="A796" s="6">
        <v>43426.280300925922</v>
      </c>
      <c r="B796" s="7" t="str">
        <f>HYPERLINK("https://twitter.com/manguionduro","@manguionduro")</f>
        <v>@manguionduro</v>
      </c>
      <c r="C796" s="8" t="s">
        <v>2036</v>
      </c>
      <c r="D796" s="9" t="s">
        <v>2037</v>
      </c>
      <c r="E796" s="10" t="str">
        <f>HYPERLINK("https://twitter.com/manguionduro/status/1065480906109005825","1065480906109005825")</f>
        <v>1065480906109005825</v>
      </c>
      <c r="F796" s="12"/>
      <c r="G796" s="12"/>
      <c r="H796" s="12"/>
      <c r="I796" s="13">
        <v>0</v>
      </c>
      <c r="J796" s="13">
        <v>0</v>
      </c>
      <c r="K796" s="14" t="str">
        <f t="shared" ref="K796:K798" si="159">HYPERLINK("http://twitter.com","Twitter Web Client")</f>
        <v>Twitter Web Client</v>
      </c>
      <c r="L796" s="13">
        <v>1523</v>
      </c>
      <c r="M796" s="13">
        <v>2041</v>
      </c>
      <c r="N796" s="13">
        <v>10</v>
      </c>
      <c r="O796" s="15"/>
      <c r="P796" s="6">
        <v>42935.852847222224</v>
      </c>
      <c r="Q796" s="16" t="s">
        <v>2041</v>
      </c>
      <c r="R796" s="17" t="s">
        <v>2042</v>
      </c>
      <c r="S796" s="12"/>
      <c r="T796" s="12"/>
      <c r="U796" s="10" t="str">
        <f>HYPERLINK("https://pbs.twimg.com/profile_images/1036624143368769536/3RUltSWd.jpg","View")</f>
        <v>View</v>
      </c>
    </row>
    <row r="797" spans="1:21" ht="20.399999999999999">
      <c r="A797" s="6">
        <v>43426.261076388888</v>
      </c>
      <c r="B797" s="7" t="str">
        <f>HYPERLINK("https://twitter.com/19Janire","@19Janire")</f>
        <v>@19Janire</v>
      </c>
      <c r="C797" s="8" t="s">
        <v>4380</v>
      </c>
      <c r="D797" s="9" t="s">
        <v>1697</v>
      </c>
      <c r="E797" s="10" t="str">
        <f>HYPERLINK("https://twitter.com/19Janire/status/1065473939177160704","1065473939177160704")</f>
        <v>1065473939177160704</v>
      </c>
      <c r="F797" s="11" t="s">
        <v>1700</v>
      </c>
      <c r="G797" s="12"/>
      <c r="H797" s="12"/>
      <c r="I797" s="13">
        <v>0</v>
      </c>
      <c r="J797" s="13">
        <v>0</v>
      </c>
      <c r="K797" s="14" t="str">
        <f t="shared" si="159"/>
        <v>Twitter Web Client</v>
      </c>
      <c r="L797" s="13">
        <v>11</v>
      </c>
      <c r="M797" s="13">
        <v>55</v>
      </c>
      <c r="N797" s="13">
        <v>0</v>
      </c>
      <c r="O797" s="15"/>
      <c r="P797" s="6">
        <v>43083.405439814815</v>
      </c>
      <c r="Q797" s="16" t="s">
        <v>955</v>
      </c>
      <c r="R797" s="17" t="s">
        <v>4381</v>
      </c>
      <c r="S797" s="12"/>
      <c r="T797" s="12"/>
      <c r="U797" s="18" t="s">
        <v>559</v>
      </c>
    </row>
    <row r="798" spans="1:21" ht="51">
      <c r="A798" s="6">
        <v>43426.257395833338</v>
      </c>
      <c r="B798" s="7" t="str">
        <f>HYPERLINK("https://twitter.com/Iya12Podremos","@Iya12Podremos")</f>
        <v>@Iya12Podremos</v>
      </c>
      <c r="C798" s="20" t="s">
        <v>4384</v>
      </c>
      <c r="D798" s="9" t="s">
        <v>4385</v>
      </c>
      <c r="E798" s="10" t="str">
        <f>HYPERLINK("https://twitter.com/Iya12Podremos/status/1065472606286041088","1065472606286041088")</f>
        <v>1065472606286041088</v>
      </c>
      <c r="F798" s="12"/>
      <c r="G798" s="11" t="s">
        <v>4386</v>
      </c>
      <c r="H798" s="12"/>
      <c r="I798" s="13">
        <v>0</v>
      </c>
      <c r="J798" s="13">
        <v>0</v>
      </c>
      <c r="K798" s="14" t="str">
        <f t="shared" si="159"/>
        <v>Twitter Web Client</v>
      </c>
      <c r="L798" s="13">
        <v>782</v>
      </c>
      <c r="M798" s="13">
        <v>804</v>
      </c>
      <c r="N798" s="13">
        <v>3</v>
      </c>
      <c r="O798" s="15"/>
      <c r="P798" s="6">
        <v>43048.685081018513</v>
      </c>
      <c r="Q798" s="16" t="s">
        <v>4387</v>
      </c>
      <c r="R798" s="17" t="s">
        <v>4388</v>
      </c>
      <c r="S798" s="12"/>
      <c r="T798" s="12"/>
      <c r="U798" s="10" t="str">
        <f>HYPERLINK("https://pbs.twimg.com/profile_images/1053169854453293056/Suq4FIsy.jpg","View")</f>
        <v>View</v>
      </c>
    </row>
    <row r="799" spans="1:21" ht="20.399999999999999">
      <c r="A799" s="6">
        <v>43426.250034722223</v>
      </c>
      <c r="B799" s="7" t="str">
        <f>HYPERLINK("https://twitter.com/RufianGenerator","@RufianGenerator")</f>
        <v>@RufianGenerator</v>
      </c>
      <c r="C799" s="8" t="s">
        <v>4390</v>
      </c>
      <c r="D799" s="9" t="s">
        <v>4391</v>
      </c>
      <c r="E799" s="10" t="str">
        <f>HYPERLINK("https://twitter.com/RufianGenerator/status/1065469936594837511","1065469936594837511")</f>
        <v>1065469936594837511</v>
      </c>
      <c r="F799" s="12"/>
      <c r="G799" s="12"/>
      <c r="H799" s="12"/>
      <c r="I799" s="13">
        <v>0</v>
      </c>
      <c r="J799" s="13">
        <v>2</v>
      </c>
      <c r="K799" s="14" t="str">
        <f>HYPERLINK("https://rufian.com","RufianGenerator")</f>
        <v>RufianGenerator</v>
      </c>
      <c r="L799" s="13">
        <v>1830</v>
      </c>
      <c r="M799" s="13">
        <v>0</v>
      </c>
      <c r="N799" s="13">
        <v>12</v>
      </c>
      <c r="O799" s="15"/>
      <c r="P799" s="6">
        <v>43062.57408564815</v>
      </c>
      <c r="Q799" s="12"/>
      <c r="R799" s="17" t="s">
        <v>4395</v>
      </c>
      <c r="S799" s="12"/>
      <c r="T799" s="12"/>
      <c r="U799" s="10" t="str">
        <f>HYPERLINK("https://pbs.twimg.com/profile_images/933678578742513665/EZg6HxCH.jpg","View")</f>
        <v>View</v>
      </c>
    </row>
    <row r="800" spans="1:21" ht="20.399999999999999">
      <c r="A800" s="6">
        <v>43426.240787037037</v>
      </c>
      <c r="B800" s="7" t="str">
        <f>HYPERLINK("https://twitter.com/ciencibait","@ciencibait")</f>
        <v>@ciencibait</v>
      </c>
      <c r="C800" s="8" t="s">
        <v>4398</v>
      </c>
      <c r="D800" s="9" t="s">
        <v>4399</v>
      </c>
      <c r="E800" s="10" t="str">
        <f>HYPERLINK("https://twitter.com/ciencibait/status/1065466585341747200","1065466585341747200")</f>
        <v>1065466585341747200</v>
      </c>
      <c r="F800" s="12"/>
      <c r="G800" s="12"/>
      <c r="H800" s="12"/>
      <c r="I800" s="13">
        <v>0</v>
      </c>
      <c r="J800" s="13">
        <v>0</v>
      </c>
      <c r="K800" s="14" t="str">
        <f>HYPERLINK("https://cheapbotsdonequick.com","Cheap Bots, Done Quick!")</f>
        <v>Cheap Bots, Done Quick!</v>
      </c>
      <c r="L800" s="13">
        <v>98</v>
      </c>
      <c r="M800" s="13">
        <v>3</v>
      </c>
      <c r="N800" s="13">
        <v>2</v>
      </c>
      <c r="O800" s="15"/>
      <c r="P800" s="6">
        <v>42934.563923611116</v>
      </c>
      <c r="Q800" s="12"/>
      <c r="R800" s="17" t="s">
        <v>4401</v>
      </c>
      <c r="S800" s="12"/>
      <c r="T800" s="12"/>
      <c r="U800" s="10" t="str">
        <f>HYPERLINK("https://pbs.twimg.com/profile_images/887301235627483137/-8wg4xTJ.jpg","View")</f>
        <v>View</v>
      </c>
    </row>
    <row r="801" spans="1:21" ht="51">
      <c r="A801" s="6">
        <v>43426.209722222222</v>
      </c>
      <c r="B801" s="7" t="str">
        <f t="shared" ref="B801:B802" si="160">HYPERLINK("https://twitter.com/bitMomentum","@bitMomentum")</f>
        <v>@bitMomentum</v>
      </c>
      <c r="C801" s="8" t="s">
        <v>706</v>
      </c>
      <c r="D801" s="9" t="s">
        <v>2043</v>
      </c>
      <c r="E801" s="10" t="str">
        <f>HYPERLINK("https://twitter.com/bitMomentum/status/1065455328668631040","1065455328668631040")</f>
        <v>1065455328668631040</v>
      </c>
      <c r="F801" s="12"/>
      <c r="G801" s="12"/>
      <c r="H801" s="12"/>
      <c r="I801" s="13">
        <v>0</v>
      </c>
      <c r="J801" s="13">
        <v>0</v>
      </c>
      <c r="K801" s="14" t="str">
        <f t="shared" ref="K801:K802" si="161">HYPERLINK("http://www.bitmomentum.com","bitMomentum Bot")</f>
        <v>bitMomentum Bot</v>
      </c>
      <c r="L801" s="13">
        <v>10132</v>
      </c>
      <c r="M801" s="13">
        <v>1060</v>
      </c>
      <c r="N801" s="13">
        <v>262</v>
      </c>
      <c r="O801" s="15"/>
      <c r="P801" s="6">
        <v>41608.667511574073</v>
      </c>
      <c r="Q801" s="12"/>
      <c r="R801" s="17" t="s">
        <v>708</v>
      </c>
      <c r="S801" s="11" t="s">
        <v>709</v>
      </c>
      <c r="T801" s="12"/>
      <c r="U801" s="10" t="str">
        <f t="shared" ref="U801:U802" si="162">HYPERLINK("https://pbs.twimg.com/profile_images/378800000862185241/20ij2H3u.png","View")</f>
        <v>View</v>
      </c>
    </row>
    <row r="802" spans="1:21" ht="40.799999999999997">
      <c r="A802" s="6">
        <v>43426.209027777775</v>
      </c>
      <c r="B802" s="7" t="str">
        <f t="shared" si="160"/>
        <v>@bitMomentum</v>
      </c>
      <c r="C802" s="8" t="s">
        <v>706</v>
      </c>
      <c r="D802" s="9" t="s">
        <v>2044</v>
      </c>
      <c r="E802" s="10" t="str">
        <f>HYPERLINK("https://twitter.com/bitMomentum/status/1065455077060734976","1065455077060734976")</f>
        <v>1065455077060734976</v>
      </c>
      <c r="F802" s="12"/>
      <c r="G802" s="12"/>
      <c r="H802" s="12"/>
      <c r="I802" s="13">
        <v>0</v>
      </c>
      <c r="J802" s="13">
        <v>0</v>
      </c>
      <c r="K802" s="14" t="str">
        <f t="shared" si="161"/>
        <v>bitMomentum Bot</v>
      </c>
      <c r="L802" s="13">
        <v>10132</v>
      </c>
      <c r="M802" s="13">
        <v>1060</v>
      </c>
      <c r="N802" s="13">
        <v>262</v>
      </c>
      <c r="O802" s="15"/>
      <c r="P802" s="6">
        <v>41608.667511574073</v>
      </c>
      <c r="Q802" s="12"/>
      <c r="R802" s="17" t="s">
        <v>708</v>
      </c>
      <c r="S802" s="11" t="s">
        <v>709</v>
      </c>
      <c r="T802" s="12"/>
      <c r="U802" s="10" t="str">
        <f t="shared" si="162"/>
        <v>View</v>
      </c>
    </row>
    <row r="803" spans="1:21" ht="40.799999999999997">
      <c r="A803" s="6">
        <v>43426.203831018516</v>
      </c>
      <c r="B803" s="7" t="str">
        <f>HYPERLINK("https://twitter.com/Espanasoberana","@Espanasoberana")</f>
        <v>@Espanasoberana</v>
      </c>
      <c r="C803" s="8" t="s">
        <v>4405</v>
      </c>
      <c r="D803" s="9" t="s">
        <v>4406</v>
      </c>
      <c r="E803" s="10" t="str">
        <f>HYPERLINK("https://twitter.com/Espanasoberana/status/1065453194472509440","1065453194472509440")</f>
        <v>1065453194472509440</v>
      </c>
      <c r="F803" s="12"/>
      <c r="G803" s="11" t="s">
        <v>4408</v>
      </c>
      <c r="H803" s="12"/>
      <c r="I803" s="13">
        <v>0</v>
      </c>
      <c r="J803" s="13">
        <v>0</v>
      </c>
      <c r="K803" s="14" t="str">
        <f>HYPERLINK("http://twitter.com","Twitter Web Client")</f>
        <v>Twitter Web Client</v>
      </c>
      <c r="L803" s="13">
        <v>464</v>
      </c>
      <c r="M803" s="13">
        <v>458</v>
      </c>
      <c r="N803" s="13">
        <v>2</v>
      </c>
      <c r="O803" s="15"/>
      <c r="P803" s="6">
        <v>43344.353078703702</v>
      </c>
      <c r="Q803" s="16" t="s">
        <v>290</v>
      </c>
      <c r="R803" s="17" t="s">
        <v>4409</v>
      </c>
      <c r="S803" s="12"/>
      <c r="T803" s="12"/>
      <c r="U803" s="10" t="str">
        <f>HYPERLINK("https://pbs.twimg.com/profile_images/1036061901833347077/JbWGQ-Ri.jpg","View")</f>
        <v>View</v>
      </c>
    </row>
    <row r="804" spans="1:21" ht="61.2">
      <c r="A804" s="6">
        <v>43426.195787037039</v>
      </c>
      <c r="B804" s="7" t="str">
        <f>HYPERLINK("https://twitter.com/inakimodrego","@inakimodrego")</f>
        <v>@inakimodrego</v>
      </c>
      <c r="C804" s="8" t="s">
        <v>4410</v>
      </c>
      <c r="D804" s="9" t="s">
        <v>4411</v>
      </c>
      <c r="E804" s="10" t="str">
        <f>HYPERLINK("https://twitter.com/inakimodrego/status/1065450280328855552","1065450280328855552")</f>
        <v>1065450280328855552</v>
      </c>
      <c r="F804" s="16" t="s">
        <v>2148</v>
      </c>
      <c r="G804" s="12"/>
      <c r="H804" s="12"/>
      <c r="I804" s="13">
        <v>0</v>
      </c>
      <c r="J804" s="13">
        <v>0</v>
      </c>
      <c r="K804" s="14" t="str">
        <f>HYPERLINK("https://mobile.twitter.com","Twitter Lite")</f>
        <v>Twitter Lite</v>
      </c>
      <c r="L804" s="13">
        <v>254</v>
      </c>
      <c r="M804" s="13">
        <v>376</v>
      </c>
      <c r="N804" s="13">
        <v>3</v>
      </c>
      <c r="O804" s="15"/>
      <c r="P804" s="6">
        <v>41972.965775462959</v>
      </c>
      <c r="Q804" s="16" t="s">
        <v>4412</v>
      </c>
      <c r="R804" s="17" t="s">
        <v>4413</v>
      </c>
      <c r="S804" s="12"/>
      <c r="T804" s="12"/>
      <c r="U804" s="10" t="str">
        <f>HYPERLINK("https://pbs.twimg.com/profile_images/961987779432501248/H8lzOALr.jpg","View")</f>
        <v>View</v>
      </c>
    </row>
    <row r="805" spans="1:21" ht="40.799999999999997">
      <c r="A805" s="6">
        <v>43426.187962962962</v>
      </c>
      <c r="B805" s="7" t="str">
        <f>HYPERLINK("https://twitter.com/MiBaires","@MiBaires")</f>
        <v>@MiBaires</v>
      </c>
      <c r="C805" s="8" t="s">
        <v>2045</v>
      </c>
      <c r="D805" s="9" t="s">
        <v>2046</v>
      </c>
      <c r="E805" s="10" t="str">
        <f>HYPERLINK("https://twitter.com/MiBaires/status/1065447444266262528","1065447444266262528")</f>
        <v>1065447444266262528</v>
      </c>
      <c r="F805" s="11" t="s">
        <v>2047</v>
      </c>
      <c r="G805" s="12"/>
      <c r="H805" s="12"/>
      <c r="I805" s="13">
        <v>0</v>
      </c>
      <c r="J805" s="13">
        <v>0</v>
      </c>
      <c r="K805" s="14" t="str">
        <f t="shared" ref="K805:K806" si="163">HYPERLINK("http://twitter.com/download/android","Twitter for Android")</f>
        <v>Twitter for Android</v>
      </c>
      <c r="L805" s="13">
        <v>2970</v>
      </c>
      <c r="M805" s="13">
        <v>2304</v>
      </c>
      <c r="N805" s="13">
        <v>107</v>
      </c>
      <c r="O805" s="15"/>
      <c r="P805" s="6">
        <v>41740.808391203704</v>
      </c>
      <c r="Q805" s="16" t="s">
        <v>2048</v>
      </c>
      <c r="R805" s="17" t="s">
        <v>2049</v>
      </c>
      <c r="S805" s="12"/>
      <c r="T805" s="12"/>
      <c r="U805" s="10" t="str">
        <f>HYPERLINK("https://pbs.twimg.com/profile_images/1001141353940684800/Jl13Q8J-.jpg","View")</f>
        <v>View</v>
      </c>
    </row>
    <row r="806" spans="1:21" ht="40.799999999999997">
      <c r="A806" s="6">
        <v>43426.170891203699</v>
      </c>
      <c r="B806" s="7" t="str">
        <f>HYPERLINK("https://twitter.com/CarlReguera","@CarlReguera")</f>
        <v>@CarlReguera</v>
      </c>
      <c r="C806" s="8" t="s">
        <v>4418</v>
      </c>
      <c r="D806" s="9" t="s">
        <v>4419</v>
      </c>
      <c r="E806" s="10" t="str">
        <f>HYPERLINK("https://twitter.com/CarlReguera/status/1065441256975859712","1065441256975859712")</f>
        <v>1065441256975859712</v>
      </c>
      <c r="F806" s="11" t="s">
        <v>1700</v>
      </c>
      <c r="G806" s="12"/>
      <c r="H806" s="12"/>
      <c r="I806" s="13">
        <v>0</v>
      </c>
      <c r="J806" s="13">
        <v>0</v>
      </c>
      <c r="K806" s="14" t="str">
        <f t="shared" si="163"/>
        <v>Twitter for Android</v>
      </c>
      <c r="L806" s="13">
        <v>55</v>
      </c>
      <c r="M806" s="13">
        <v>115</v>
      </c>
      <c r="N806" s="13">
        <v>0</v>
      </c>
      <c r="O806" s="15"/>
      <c r="P806" s="6">
        <v>42025.2809375</v>
      </c>
      <c r="Q806" s="16" t="s">
        <v>3323</v>
      </c>
      <c r="R806" s="17" t="s">
        <v>4423</v>
      </c>
      <c r="S806" s="11" t="s">
        <v>4424</v>
      </c>
      <c r="T806" s="12"/>
      <c r="U806" s="10" t="str">
        <f>HYPERLINK("https://pbs.twimg.com/profile_images/557777611280379904/0y30Je3R.jpeg","View")</f>
        <v>View</v>
      </c>
    </row>
    <row r="807" spans="1:21" ht="40.799999999999997">
      <c r="A807" s="6">
        <v>43426.16805555555</v>
      </c>
      <c r="B807" s="7" t="str">
        <f t="shared" ref="B807:B808" si="164">HYPERLINK("https://twitter.com/bitMomentum","@bitMomentum")</f>
        <v>@bitMomentum</v>
      </c>
      <c r="C807" s="8" t="s">
        <v>706</v>
      </c>
      <c r="D807" s="9" t="s">
        <v>2050</v>
      </c>
      <c r="E807" s="10" t="str">
        <f>HYPERLINK("https://twitter.com/bitMomentum/status/1065440229291712513","1065440229291712513")</f>
        <v>1065440229291712513</v>
      </c>
      <c r="F807" s="12"/>
      <c r="G807" s="12"/>
      <c r="H807" s="12"/>
      <c r="I807" s="13">
        <v>0</v>
      </c>
      <c r="J807" s="13">
        <v>0</v>
      </c>
      <c r="K807" s="14" t="str">
        <f t="shared" ref="K807:K808" si="165">HYPERLINK("http://www.bitmomentum.com","bitMomentum Bot")</f>
        <v>bitMomentum Bot</v>
      </c>
      <c r="L807" s="13">
        <v>10132</v>
      </c>
      <c r="M807" s="13">
        <v>1060</v>
      </c>
      <c r="N807" s="13">
        <v>262</v>
      </c>
      <c r="O807" s="15"/>
      <c r="P807" s="6">
        <v>41608.667511574073</v>
      </c>
      <c r="Q807" s="12"/>
      <c r="R807" s="17" t="s">
        <v>708</v>
      </c>
      <c r="S807" s="11" t="s">
        <v>709</v>
      </c>
      <c r="T807" s="12"/>
      <c r="U807" s="10" t="str">
        <f t="shared" ref="U807:U808" si="166">HYPERLINK("https://pbs.twimg.com/profile_images/378800000862185241/20ij2H3u.png","View")</f>
        <v>View</v>
      </c>
    </row>
    <row r="808" spans="1:21" ht="40.799999999999997">
      <c r="A808" s="6">
        <v>43426.167361111111</v>
      </c>
      <c r="B808" s="7" t="str">
        <f t="shared" si="164"/>
        <v>@bitMomentum</v>
      </c>
      <c r="C808" s="8" t="s">
        <v>706</v>
      </c>
      <c r="D808" s="9" t="s">
        <v>2053</v>
      </c>
      <c r="E808" s="10" t="str">
        <f>HYPERLINK("https://twitter.com/bitMomentum/status/1065439979063660544","1065439979063660544")</f>
        <v>1065439979063660544</v>
      </c>
      <c r="F808" s="12"/>
      <c r="G808" s="12"/>
      <c r="H808" s="12"/>
      <c r="I808" s="13">
        <v>0</v>
      </c>
      <c r="J808" s="13">
        <v>0</v>
      </c>
      <c r="K808" s="14" t="str">
        <f t="shared" si="165"/>
        <v>bitMomentum Bot</v>
      </c>
      <c r="L808" s="13">
        <v>10132</v>
      </c>
      <c r="M808" s="13">
        <v>1060</v>
      </c>
      <c r="N808" s="13">
        <v>262</v>
      </c>
      <c r="O808" s="15"/>
      <c r="P808" s="6">
        <v>41608.667511574073</v>
      </c>
      <c r="Q808" s="12"/>
      <c r="R808" s="17" t="s">
        <v>708</v>
      </c>
      <c r="S808" s="11" t="s">
        <v>709</v>
      </c>
      <c r="T808" s="12"/>
      <c r="U808" s="10" t="str">
        <f t="shared" si="166"/>
        <v>View</v>
      </c>
    </row>
    <row r="809" spans="1:21" ht="61.2">
      <c r="A809" s="6">
        <v>43426.148564814815</v>
      </c>
      <c r="B809" s="7" t="str">
        <f>HYPERLINK("https://twitter.com/anilor65","@anilor65")</f>
        <v>@anilor65</v>
      </c>
      <c r="C809" s="8" t="s">
        <v>2057</v>
      </c>
      <c r="D809" s="9" t="s">
        <v>2058</v>
      </c>
      <c r="E809" s="10" t="str">
        <f>HYPERLINK("https://twitter.com/anilor65/status/1065433166633152512","1065433166633152512")</f>
        <v>1065433166633152512</v>
      </c>
      <c r="F809" s="11" t="s">
        <v>2059</v>
      </c>
      <c r="G809" s="11" t="s">
        <v>2060</v>
      </c>
      <c r="H809" s="12"/>
      <c r="I809" s="13">
        <v>0</v>
      </c>
      <c r="J809" s="13">
        <v>1</v>
      </c>
      <c r="K809" s="14" t="str">
        <f>HYPERLINK("http://twitter.com/download/iphone","Twitter for iPhone")</f>
        <v>Twitter for iPhone</v>
      </c>
      <c r="L809" s="13">
        <v>1157</v>
      </c>
      <c r="M809" s="13">
        <v>1301</v>
      </c>
      <c r="N809" s="13">
        <v>7</v>
      </c>
      <c r="O809" s="15"/>
      <c r="P809" s="6">
        <v>40932.763553240744</v>
      </c>
      <c r="Q809" s="16" t="s">
        <v>2062</v>
      </c>
      <c r="R809" s="17" t="s">
        <v>2063</v>
      </c>
      <c r="S809" s="12"/>
      <c r="T809" s="12"/>
      <c r="U809" s="10" t="str">
        <f>HYPERLINK("https://pbs.twimg.com/profile_images/1001822087953178624/6PCqBZgC.jpg","View")</f>
        <v>View</v>
      </c>
    </row>
    <row r="810" spans="1:21" ht="61.2">
      <c r="A810" s="6">
        <v>43426.131990740745</v>
      </c>
      <c r="B810" s="7" t="str">
        <f>HYPERLINK("https://twitter.com/joanmiquelm4","@joanmiquelm4")</f>
        <v>@joanmiquelm4</v>
      </c>
      <c r="C810" s="8" t="s">
        <v>1370</v>
      </c>
      <c r="D810" s="9" t="s">
        <v>2064</v>
      </c>
      <c r="E810" s="10" t="str">
        <f>HYPERLINK("https://twitter.com/joanmiquelm4/status/1065427162906484736","1065427162906484736")</f>
        <v>1065427162906484736</v>
      </c>
      <c r="F810" s="16" t="s">
        <v>64</v>
      </c>
      <c r="G810" s="11" t="s">
        <v>65</v>
      </c>
      <c r="H810" s="12"/>
      <c r="I810" s="13">
        <v>0</v>
      </c>
      <c r="J810" s="13">
        <v>0</v>
      </c>
      <c r="K810" s="14" t="str">
        <f>HYPERLINK("http://twitter.com/download/android","Twitter for Android")</f>
        <v>Twitter for Android</v>
      </c>
      <c r="L810" s="13">
        <v>186</v>
      </c>
      <c r="M810" s="13">
        <v>250</v>
      </c>
      <c r="N810" s="13">
        <v>22</v>
      </c>
      <c r="O810" s="15"/>
      <c r="P810" s="6">
        <v>41963.710092592592</v>
      </c>
      <c r="Q810" s="12"/>
      <c r="R810" s="17" t="s">
        <v>1373</v>
      </c>
      <c r="S810" s="12"/>
      <c r="T810" s="12"/>
      <c r="U810" s="10" t="str">
        <f>HYPERLINK("https://pbs.twimg.com/profile_images/535464079948017666/sd81e-bA.jpeg","View")</f>
        <v>View</v>
      </c>
    </row>
    <row r="811" spans="1:21" ht="20.399999999999999">
      <c r="A811" s="6">
        <v>43426.125740740739</v>
      </c>
      <c r="B811" s="7" t="str">
        <f>HYPERLINK("https://twitter.com/JiselleJim","@JiselleJim")</f>
        <v>@JiselleJim</v>
      </c>
      <c r="C811" s="8" t="s">
        <v>4441</v>
      </c>
      <c r="D811" s="9" t="s">
        <v>4442</v>
      </c>
      <c r="E811" s="10" t="str">
        <f>HYPERLINK("https://twitter.com/JiselleJim/status/1065424897231400962","1065424897231400962")</f>
        <v>1065424897231400962</v>
      </c>
      <c r="F811" s="16" t="s">
        <v>4444</v>
      </c>
      <c r="G811" s="12"/>
      <c r="H811" s="12"/>
      <c r="I811" s="13">
        <v>0</v>
      </c>
      <c r="J811" s="13">
        <v>0</v>
      </c>
      <c r="K811" s="14" t="str">
        <f>HYPERLINK("https://dlvrit.com/","dlvr.it")</f>
        <v>dlvr.it</v>
      </c>
      <c r="L811" s="13">
        <v>28</v>
      </c>
      <c r="M811" s="13">
        <v>157</v>
      </c>
      <c r="N811" s="13">
        <v>0</v>
      </c>
      <c r="O811" s="15"/>
      <c r="P811" s="6">
        <v>42956.845856481479</v>
      </c>
      <c r="Q811" s="16" t="s">
        <v>331</v>
      </c>
      <c r="R811" s="17" t="s">
        <v>4445</v>
      </c>
      <c r="S811" s="12"/>
      <c r="T811" s="12"/>
      <c r="U811" s="10" t="str">
        <f>HYPERLINK("https://pbs.twimg.com/profile_images/1006612599046393856/b_SnXIqN.jpg","View")</f>
        <v>View</v>
      </c>
    </row>
    <row r="812" spans="1:21" ht="40.799999999999997">
      <c r="A812" s="6">
        <v>43426.120266203703</v>
      </c>
      <c r="B812" s="7" t="str">
        <f>HYPERLINK("https://twitter.com/LfilodelabrechA","@LfilodelabrechA")</f>
        <v>@LfilodelabrechA</v>
      </c>
      <c r="C812" s="8" t="s">
        <v>1327</v>
      </c>
      <c r="D812" s="9" t="s">
        <v>4447</v>
      </c>
      <c r="E812" s="10" t="str">
        <f>HYPERLINK("https://twitter.com/LfilodelabrechA/status/1065422910947540992","1065422910947540992")</f>
        <v>1065422910947540992</v>
      </c>
      <c r="F812" s="12"/>
      <c r="G812" s="12"/>
      <c r="H812" s="12"/>
      <c r="I812" s="13">
        <v>1</v>
      </c>
      <c r="J812" s="13">
        <v>0</v>
      </c>
      <c r="K812" s="14" t="str">
        <f>HYPERLINK("http://twitter.com","Twitter Web Client")</f>
        <v>Twitter Web Client</v>
      </c>
      <c r="L812" s="13">
        <v>21281</v>
      </c>
      <c r="M812" s="13">
        <v>16077</v>
      </c>
      <c r="N812" s="13">
        <v>155</v>
      </c>
      <c r="O812" s="15"/>
      <c r="P812" s="6">
        <v>41995.189953703702</v>
      </c>
      <c r="Q812" s="16" t="s">
        <v>1338</v>
      </c>
      <c r="R812" s="17" t="s">
        <v>1339</v>
      </c>
      <c r="S812" s="11" t="s">
        <v>1340</v>
      </c>
      <c r="T812" s="12"/>
      <c r="U812" s="10" t="str">
        <f>HYPERLINK("https://pbs.twimg.com/profile_images/1015231495512915968/1SaMhOsw.jpg","View")</f>
        <v>View</v>
      </c>
    </row>
    <row r="813" spans="1:21" ht="71.400000000000006">
      <c r="A813" s="6">
        <v>43426.11928240741</v>
      </c>
      <c r="B813" s="7" t="str">
        <f>HYPERLINK("https://twitter.com/joanmiquelm4","@joanmiquelm4")</f>
        <v>@joanmiquelm4</v>
      </c>
      <c r="C813" s="8" t="s">
        <v>1370</v>
      </c>
      <c r="D813" s="9" t="s">
        <v>2065</v>
      </c>
      <c r="E813" s="10" t="str">
        <f>HYPERLINK("https://twitter.com/joanmiquelm4/status/1065422555824222208","1065422555824222208")</f>
        <v>1065422555824222208</v>
      </c>
      <c r="F813" s="11" t="s">
        <v>2066</v>
      </c>
      <c r="G813" s="11" t="s">
        <v>2067</v>
      </c>
      <c r="H813" s="12"/>
      <c r="I813" s="13">
        <v>0</v>
      </c>
      <c r="J813" s="13">
        <v>0</v>
      </c>
      <c r="K813" s="14" t="str">
        <f t="shared" ref="K813:K815" si="167">HYPERLINK("http://twitter.com/download/android","Twitter for Android")</f>
        <v>Twitter for Android</v>
      </c>
      <c r="L813" s="13">
        <v>186</v>
      </c>
      <c r="M813" s="13">
        <v>250</v>
      </c>
      <c r="N813" s="13">
        <v>22</v>
      </c>
      <c r="O813" s="15"/>
      <c r="P813" s="6">
        <v>41963.710092592592</v>
      </c>
      <c r="Q813" s="12"/>
      <c r="R813" s="17" t="s">
        <v>1373</v>
      </c>
      <c r="S813" s="12"/>
      <c r="T813" s="12"/>
      <c r="U813" s="10" t="str">
        <f>HYPERLINK("https://pbs.twimg.com/profile_images/535464079948017666/sd81e-bA.jpeg","View")</f>
        <v>View</v>
      </c>
    </row>
    <row r="814" spans="1:21" ht="91.8">
      <c r="A814" s="6">
        <v>43426.110601851848</v>
      </c>
      <c r="B814" s="7" t="str">
        <f>HYPERLINK("https://twitter.com/LuisBatteman","@LuisBatteman")</f>
        <v>@LuisBatteman</v>
      </c>
      <c r="C814" s="8" t="s">
        <v>769</v>
      </c>
      <c r="D814" s="9" t="s">
        <v>2070</v>
      </c>
      <c r="E814" s="10" t="str">
        <f>HYPERLINK("https://twitter.com/LuisBatteman/status/1065419409173434369","1065419409173434369")</f>
        <v>1065419409173434369</v>
      </c>
      <c r="F814" s="11" t="s">
        <v>2072</v>
      </c>
      <c r="G814" s="11" t="s">
        <v>2075</v>
      </c>
      <c r="H814" s="12"/>
      <c r="I814" s="13">
        <v>0</v>
      </c>
      <c r="J814" s="13">
        <v>0</v>
      </c>
      <c r="K814" s="14" t="str">
        <f t="shared" si="167"/>
        <v>Twitter for Android</v>
      </c>
      <c r="L814" s="13">
        <v>1731</v>
      </c>
      <c r="M814" s="13">
        <v>2195</v>
      </c>
      <c r="N814" s="13">
        <v>31</v>
      </c>
      <c r="O814" s="15"/>
      <c r="P814" s="6">
        <v>40122.007476851853</v>
      </c>
      <c r="Q814" s="16" t="s">
        <v>774</v>
      </c>
      <c r="R814" s="17" t="s">
        <v>775</v>
      </c>
      <c r="S814" s="12"/>
      <c r="T814" s="12"/>
      <c r="U814" s="10" t="str">
        <f>HYPERLINK("https://pbs.twimg.com/profile_images/730904453025546242/36bcf-X7.jpg","View")</f>
        <v>View</v>
      </c>
    </row>
    <row r="815" spans="1:21" ht="51">
      <c r="A815" s="6">
        <v>43426.110347222224</v>
      </c>
      <c r="B815" s="7" t="str">
        <f>HYPERLINK("https://twitter.com/Soy_deSanJuan","@Soy_deSanJuan")</f>
        <v>@Soy_deSanJuan</v>
      </c>
      <c r="C815" s="8" t="s">
        <v>2076</v>
      </c>
      <c r="D815" s="9" t="s">
        <v>2077</v>
      </c>
      <c r="E815" s="10" t="str">
        <f>HYPERLINK("https://twitter.com/Soy_deSanJuan/status/1065419319364997120","1065419319364997120")</f>
        <v>1065419319364997120</v>
      </c>
      <c r="F815" s="11" t="s">
        <v>2078</v>
      </c>
      <c r="G815" s="12"/>
      <c r="H815" s="12"/>
      <c r="I815" s="13">
        <v>0</v>
      </c>
      <c r="J815" s="13">
        <v>0</v>
      </c>
      <c r="K815" s="14" t="str">
        <f t="shared" si="167"/>
        <v>Twitter for Android</v>
      </c>
      <c r="L815" s="13">
        <v>115</v>
      </c>
      <c r="M815" s="13">
        <v>290</v>
      </c>
      <c r="N815" s="13">
        <v>0</v>
      </c>
      <c r="O815" s="15"/>
      <c r="P815" s="6">
        <v>43348.359409722223</v>
      </c>
      <c r="Q815" s="12"/>
      <c r="R815" s="17" t="s">
        <v>2079</v>
      </c>
      <c r="S815" s="12"/>
      <c r="T815" s="12"/>
      <c r="U815" s="10" t="str">
        <f>HYPERLINK("https://pbs.twimg.com/profile_images/1037333835011317760/Nv0ZVVN2.jpg","View")</f>
        <v>View</v>
      </c>
    </row>
    <row r="816" spans="1:21" ht="40.799999999999997">
      <c r="A816" s="6">
        <v>43426.103935185187</v>
      </c>
      <c r="B816" s="7" t="str">
        <f>HYPERLINK("https://twitter.com/Helio_d_oro","@Helio_d_oro")</f>
        <v>@Helio_d_oro</v>
      </c>
      <c r="C816" s="8" t="s">
        <v>4459</v>
      </c>
      <c r="D816" s="9" t="s">
        <v>4460</v>
      </c>
      <c r="E816" s="10" t="str">
        <f>HYPERLINK("https://twitter.com/Helio_d_oro/status/1065416994835566592","1065416994835566592")</f>
        <v>1065416994835566592</v>
      </c>
      <c r="F816" s="11" t="s">
        <v>4461</v>
      </c>
      <c r="G816" s="12"/>
      <c r="H816" s="12"/>
      <c r="I816" s="13">
        <v>0</v>
      </c>
      <c r="J816" s="13">
        <v>0</v>
      </c>
      <c r="K816" s="14" t="str">
        <f>HYPERLINK("http://www.facebook.com/twitter","Facebook")</f>
        <v>Facebook</v>
      </c>
      <c r="L816" s="13">
        <v>630</v>
      </c>
      <c r="M816" s="13">
        <v>1148</v>
      </c>
      <c r="N816" s="13">
        <v>14</v>
      </c>
      <c r="O816" s="15"/>
      <c r="P816" s="6">
        <v>40398.095682870371</v>
      </c>
      <c r="Q816" s="16" t="s">
        <v>4264</v>
      </c>
      <c r="R816" s="19"/>
      <c r="S816" s="11" t="s">
        <v>4464</v>
      </c>
      <c r="T816" s="12"/>
      <c r="U816" s="10" t="str">
        <f>HYPERLINK("https://pbs.twimg.com/profile_images/1099072233/Helio.JPG","View")</f>
        <v>View</v>
      </c>
    </row>
    <row r="817" spans="1:21" ht="81.599999999999994">
      <c r="A817" s="6">
        <v>43426.090277777781</v>
      </c>
      <c r="B817" s="7" t="str">
        <f t="shared" ref="B817:B819" si="168">HYPERLINK("https://twitter.com/joanmiquelm4","@joanmiquelm4")</f>
        <v>@joanmiquelm4</v>
      </c>
      <c r="C817" s="8" t="s">
        <v>1370</v>
      </c>
      <c r="D817" s="9" t="s">
        <v>2080</v>
      </c>
      <c r="E817" s="10" t="str">
        <f>HYPERLINK("https://twitter.com/joanmiquelm4/status/1065412044478914560","1065412044478914560")</f>
        <v>1065412044478914560</v>
      </c>
      <c r="F817" s="16" t="s">
        <v>2081</v>
      </c>
      <c r="G817" s="12"/>
      <c r="H817" s="12"/>
      <c r="I817" s="13">
        <v>0</v>
      </c>
      <c r="J817" s="13">
        <v>0</v>
      </c>
      <c r="K817" s="14" t="str">
        <f t="shared" ref="K817:K819" si="169">HYPERLINK("http://twitter.com/download/android","Twitter for Android")</f>
        <v>Twitter for Android</v>
      </c>
      <c r="L817" s="13">
        <v>186</v>
      </c>
      <c r="M817" s="13">
        <v>250</v>
      </c>
      <c r="N817" s="13">
        <v>22</v>
      </c>
      <c r="O817" s="15"/>
      <c r="P817" s="6">
        <v>41963.710092592592</v>
      </c>
      <c r="Q817" s="12"/>
      <c r="R817" s="17" t="s">
        <v>1373</v>
      </c>
      <c r="S817" s="12"/>
      <c r="T817" s="12"/>
      <c r="U817" s="10" t="str">
        <f t="shared" ref="U817:U819" si="170">HYPERLINK("https://pbs.twimg.com/profile_images/535464079948017666/sd81e-bA.jpeg","View")</f>
        <v>View</v>
      </c>
    </row>
    <row r="818" spans="1:21" ht="20.399999999999999">
      <c r="A818" s="6">
        <v>43426.086782407408</v>
      </c>
      <c r="B818" s="7" t="str">
        <f t="shared" si="168"/>
        <v>@joanmiquelm4</v>
      </c>
      <c r="C818" s="8" t="s">
        <v>1370</v>
      </c>
      <c r="D818" s="9" t="s">
        <v>2084</v>
      </c>
      <c r="E818" s="10" t="str">
        <f>HYPERLINK("https://twitter.com/joanmiquelm4/status/1065410776419246080","1065410776419246080")</f>
        <v>1065410776419246080</v>
      </c>
      <c r="F818" s="16" t="s">
        <v>1776</v>
      </c>
      <c r="G818" s="12"/>
      <c r="H818" s="12"/>
      <c r="I818" s="13">
        <v>0</v>
      </c>
      <c r="J818" s="13">
        <v>0</v>
      </c>
      <c r="K818" s="14" t="str">
        <f t="shared" si="169"/>
        <v>Twitter for Android</v>
      </c>
      <c r="L818" s="13">
        <v>186</v>
      </c>
      <c r="M818" s="13">
        <v>250</v>
      </c>
      <c r="N818" s="13">
        <v>22</v>
      </c>
      <c r="O818" s="15"/>
      <c r="P818" s="6">
        <v>41963.710092592592</v>
      </c>
      <c r="Q818" s="12"/>
      <c r="R818" s="17" t="s">
        <v>1373</v>
      </c>
      <c r="S818" s="12"/>
      <c r="T818" s="12"/>
      <c r="U818" s="10" t="str">
        <f t="shared" si="170"/>
        <v>View</v>
      </c>
    </row>
    <row r="819" spans="1:21" ht="51">
      <c r="A819" s="6">
        <v>43426.085682870369</v>
      </c>
      <c r="B819" s="7" t="str">
        <f t="shared" si="168"/>
        <v>@joanmiquelm4</v>
      </c>
      <c r="C819" s="8" t="s">
        <v>1370</v>
      </c>
      <c r="D819" s="9" t="s">
        <v>4473</v>
      </c>
      <c r="E819" s="10" t="str">
        <f>HYPERLINK("https://twitter.com/joanmiquelm4/status/1065410377792593922","1065410377792593922")</f>
        <v>1065410377792593922</v>
      </c>
      <c r="F819" s="16" t="s">
        <v>4127</v>
      </c>
      <c r="G819" s="12"/>
      <c r="H819" s="12"/>
      <c r="I819" s="13">
        <v>0</v>
      </c>
      <c r="J819" s="13">
        <v>0</v>
      </c>
      <c r="K819" s="14" t="str">
        <f t="shared" si="169"/>
        <v>Twitter for Android</v>
      </c>
      <c r="L819" s="13">
        <v>186</v>
      </c>
      <c r="M819" s="13">
        <v>250</v>
      </c>
      <c r="N819" s="13">
        <v>22</v>
      </c>
      <c r="O819" s="15"/>
      <c r="P819" s="6">
        <v>41963.710092592592</v>
      </c>
      <c r="Q819" s="12"/>
      <c r="R819" s="17" t="s">
        <v>1373</v>
      </c>
      <c r="S819" s="12"/>
      <c r="T819" s="12"/>
      <c r="U819" s="10" t="str">
        <f t="shared" si="170"/>
        <v>View</v>
      </c>
    </row>
    <row r="820" spans="1:21" ht="30.6">
      <c r="A820" s="6">
        <v>43426.083333333328</v>
      </c>
      <c r="B820" s="7" t="str">
        <f>HYPERLINK("https://twitter.com/publico_es","@publico_es")</f>
        <v>@publico_es</v>
      </c>
      <c r="C820" s="8" t="s">
        <v>2597</v>
      </c>
      <c r="D820" s="9" t="s">
        <v>1963</v>
      </c>
      <c r="E820" s="10" t="str">
        <f>HYPERLINK("https://twitter.com/publico_es/status/1065409529431687169","1065409529431687169")</f>
        <v>1065409529431687169</v>
      </c>
      <c r="F820" s="11" t="s">
        <v>2078</v>
      </c>
      <c r="G820" s="12"/>
      <c r="H820" s="12"/>
      <c r="I820" s="13">
        <v>39</v>
      </c>
      <c r="J820" s="13">
        <v>32</v>
      </c>
      <c r="K820" s="14" t="str">
        <f>HYPERLINK("https://about.twitter.com/products/tweetdeck","TweetDeck")</f>
        <v>TweetDeck</v>
      </c>
      <c r="L820" s="13">
        <v>911012</v>
      </c>
      <c r="M820" s="13">
        <v>1455</v>
      </c>
      <c r="N820" s="13">
        <v>14825</v>
      </c>
      <c r="O820" s="18" t="s">
        <v>36</v>
      </c>
      <c r="P820" s="6">
        <v>39779.559525462959</v>
      </c>
      <c r="Q820" s="16" t="s">
        <v>440</v>
      </c>
      <c r="R820" s="17" t="s">
        <v>2602</v>
      </c>
      <c r="S820" s="11" t="s">
        <v>2603</v>
      </c>
      <c r="T820" s="12"/>
      <c r="U820" s="10" t="str">
        <f>HYPERLINK("https://pbs.twimg.com/profile_images/1048242435682422786/FdzZWHU8.jpg","View")</f>
        <v>View</v>
      </c>
    </row>
    <row r="821" spans="1:21" ht="30.6">
      <c r="A821" s="6">
        <v>43426.077268518522</v>
      </c>
      <c r="B821" s="7" t="str">
        <f>HYPERLINK("https://twitter.com/SalviGolf","@SalviGolf")</f>
        <v>@SalviGolf</v>
      </c>
      <c r="C821" s="8" t="s">
        <v>2088</v>
      </c>
      <c r="D821" s="9" t="s">
        <v>2089</v>
      </c>
      <c r="E821" s="10" t="str">
        <f>HYPERLINK("https://twitter.com/SalviGolf/status/1065407328328081408","1065407328328081408")</f>
        <v>1065407328328081408</v>
      </c>
      <c r="F821" s="11" t="s">
        <v>2090</v>
      </c>
      <c r="G821" s="12"/>
      <c r="H821" s="12"/>
      <c r="I821" s="13">
        <v>0</v>
      </c>
      <c r="J821" s="13">
        <v>0</v>
      </c>
      <c r="K821" s="14" t="str">
        <f>HYPERLINK("http://twitter.com","Twitter Web Client")</f>
        <v>Twitter Web Client</v>
      </c>
      <c r="L821" s="13">
        <v>657</v>
      </c>
      <c r="M821" s="13">
        <v>2177</v>
      </c>
      <c r="N821" s="13">
        <v>0</v>
      </c>
      <c r="O821" s="15"/>
      <c r="P821" s="6">
        <v>40514.828657407408</v>
      </c>
      <c r="Q821" s="16" t="s">
        <v>2091</v>
      </c>
      <c r="R821" s="17" t="s">
        <v>2092</v>
      </c>
      <c r="S821" s="12"/>
      <c r="T821" s="12"/>
      <c r="U821" s="10" t="str">
        <f>HYPERLINK("https://pbs.twimg.com/profile_images/795725707934597120/GTNY9CXC.jpg","View")</f>
        <v>View</v>
      </c>
    </row>
    <row r="822" spans="1:21" ht="40.799999999999997">
      <c r="A822" s="6">
        <v>43426.076539351852</v>
      </c>
      <c r="B822" s="7" t="str">
        <f>HYPERLINK("https://twitter.com/OrphenANLIUM","@OrphenANLIUM")</f>
        <v>@OrphenANLIUM</v>
      </c>
      <c r="C822" s="8" t="s">
        <v>2093</v>
      </c>
      <c r="D822" s="9" t="s">
        <v>2094</v>
      </c>
      <c r="E822" s="10" t="str">
        <f>HYPERLINK("https://twitter.com/OrphenANLIUM/status/1065407066980974592","1065407066980974592")</f>
        <v>1065407066980974592</v>
      </c>
      <c r="F822" s="16" t="s">
        <v>2095</v>
      </c>
      <c r="G822" s="12"/>
      <c r="H822" s="12"/>
      <c r="I822" s="13">
        <v>1</v>
      </c>
      <c r="J822" s="13">
        <v>1</v>
      </c>
      <c r="K822" s="14" t="str">
        <f>HYPERLINK("http://twitter.com/download/android","Twitter for Android")</f>
        <v>Twitter for Android</v>
      </c>
      <c r="L822" s="13">
        <v>2041</v>
      </c>
      <c r="M822" s="13">
        <v>193</v>
      </c>
      <c r="N822" s="13">
        <v>8</v>
      </c>
      <c r="O822" s="15"/>
      <c r="P822" s="6">
        <v>40764.682743055557</v>
      </c>
      <c r="Q822" s="16" t="s">
        <v>2096</v>
      </c>
      <c r="R822" s="17" t="s">
        <v>2097</v>
      </c>
      <c r="S822" s="11" t="s">
        <v>2098</v>
      </c>
      <c r="T822" s="12"/>
      <c r="U822" s="10" t="str">
        <f>HYPERLINK("https://pbs.twimg.com/profile_images/1059087548067311616/mPI_ZCtW.jpg","View")</f>
        <v>View</v>
      </c>
    </row>
    <row r="823" spans="1:21" ht="40.799999999999997">
      <c r="A823" s="6">
        <v>43426.068252314813</v>
      </c>
      <c r="B823" s="7" t="str">
        <f>HYPERLINK("https://twitter.com/AdriGitaniko","@AdriGitaniko")</f>
        <v>@AdriGitaniko</v>
      </c>
      <c r="C823" s="8" t="s">
        <v>4485</v>
      </c>
      <c r="D823" s="9" t="s">
        <v>4486</v>
      </c>
      <c r="E823" s="10" t="str">
        <f>HYPERLINK("https://twitter.com/AdriGitaniko/status/1065404064220045312","1065404064220045312")</f>
        <v>1065404064220045312</v>
      </c>
      <c r="F823" s="11" t="s">
        <v>4488</v>
      </c>
      <c r="G823" s="12"/>
      <c r="H823" s="12"/>
      <c r="I823" s="13">
        <v>0</v>
      </c>
      <c r="J823" s="13">
        <v>0</v>
      </c>
      <c r="K823" s="14" t="str">
        <f>HYPERLINK("https://www.google.com/","Google")</f>
        <v>Google</v>
      </c>
      <c r="L823" s="13">
        <v>17</v>
      </c>
      <c r="M823" s="13">
        <v>65</v>
      </c>
      <c r="N823" s="13">
        <v>0</v>
      </c>
      <c r="O823" s="15"/>
      <c r="P823" s="6">
        <v>42396.929351851853</v>
      </c>
      <c r="Q823" s="16" t="s">
        <v>4489</v>
      </c>
      <c r="R823" s="17" t="s">
        <v>4490</v>
      </c>
      <c r="S823" s="12"/>
      <c r="T823" s="12"/>
      <c r="U823" s="10" t="str">
        <f>HYPERLINK("https://pbs.twimg.com/profile_images/1017093508816146433/GdU-ldoF.jpg","View")</f>
        <v>View</v>
      </c>
    </row>
    <row r="824" spans="1:21" ht="30.6">
      <c r="A824" s="6">
        <v>43426.060185185182</v>
      </c>
      <c r="B824" s="7" t="str">
        <f>HYPERLINK("https://twitter.com/MaraPilarFernn3","@MaraPilarFernn3")</f>
        <v>@MaraPilarFernn3</v>
      </c>
      <c r="C824" s="8" t="s">
        <v>4491</v>
      </c>
      <c r="D824" s="9" t="s">
        <v>4492</v>
      </c>
      <c r="E824" s="10" t="str">
        <f>HYPERLINK("https://twitter.com/MaraPilarFernn3/status/1065401140701990913","1065401140701990913")</f>
        <v>1065401140701990913</v>
      </c>
      <c r="F824" s="11" t="s">
        <v>1700</v>
      </c>
      <c r="G824" s="12"/>
      <c r="H824" s="12"/>
      <c r="I824" s="13">
        <v>2</v>
      </c>
      <c r="J824" s="13">
        <v>3</v>
      </c>
      <c r="K824" s="14" t="str">
        <f>HYPERLINK("http://twitter.com/download/android","Twitter for Android")</f>
        <v>Twitter for Android</v>
      </c>
      <c r="L824" s="13">
        <v>3452</v>
      </c>
      <c r="M824" s="13">
        <v>4212</v>
      </c>
      <c r="N824" s="13">
        <v>5</v>
      </c>
      <c r="O824" s="15"/>
      <c r="P824" s="6">
        <v>43144.741076388891</v>
      </c>
      <c r="Q824" s="12"/>
      <c r="R824" s="17" t="s">
        <v>4496</v>
      </c>
      <c r="S824" s="12"/>
      <c r="T824" s="12"/>
      <c r="U824" s="10" t="str">
        <f>HYPERLINK("https://pbs.twimg.com/profile_images/963937402619334657/H1OsvoHZ.jpg","View")</f>
        <v>View</v>
      </c>
    </row>
    <row r="825" spans="1:21" ht="40.799999999999997">
      <c r="A825" s="6">
        <v>43426.059016203704</v>
      </c>
      <c r="B825" s="7" t="str">
        <f>HYPERLINK("https://twitter.com/PdeSamos","@PdeSamos")</f>
        <v>@PdeSamos</v>
      </c>
      <c r="C825" s="8" t="s">
        <v>1574</v>
      </c>
      <c r="D825" s="9" t="s">
        <v>4498</v>
      </c>
      <c r="E825" s="10" t="str">
        <f>HYPERLINK("https://twitter.com/PdeSamos/status/1065400717027041281","1065400717027041281")</f>
        <v>1065400717027041281</v>
      </c>
      <c r="F825" s="11" t="s">
        <v>4499</v>
      </c>
      <c r="G825" s="12"/>
      <c r="H825" s="12"/>
      <c r="I825" s="13">
        <v>0</v>
      </c>
      <c r="J825" s="13">
        <v>0</v>
      </c>
      <c r="K825" s="14" t="str">
        <f>HYPERLINK("http://republico.ddns.net","App Libertad PdeSamos")</f>
        <v>App Libertad PdeSamos</v>
      </c>
      <c r="L825" s="13">
        <v>5284</v>
      </c>
      <c r="M825" s="13">
        <v>5302</v>
      </c>
      <c r="N825" s="13">
        <v>12</v>
      </c>
      <c r="O825" s="15"/>
      <c r="P825" s="6">
        <v>42889.820567129631</v>
      </c>
      <c r="Q825" s="16" t="s">
        <v>1579</v>
      </c>
      <c r="R825" s="17" t="s">
        <v>1580</v>
      </c>
      <c r="S825" s="12"/>
      <c r="T825" s="12"/>
      <c r="U825" s="10" t="str">
        <f>HYPERLINK("https://pbs.twimg.com/profile_images/871063742003511296/xK2IYbrO.jpg","View")</f>
        <v>View</v>
      </c>
    </row>
    <row r="826" spans="1:21" ht="71.400000000000006">
      <c r="A826" s="6">
        <v>43426.058275462958</v>
      </c>
      <c r="B826" s="7" t="str">
        <f>HYPERLINK("https://twitter.com/fbarrospalacios","@fbarrospalacios")</f>
        <v>@fbarrospalacios</v>
      </c>
      <c r="C826" s="8" t="s">
        <v>4503</v>
      </c>
      <c r="D826" s="9" t="s">
        <v>4504</v>
      </c>
      <c r="E826" s="10" t="str">
        <f>HYPERLINK("https://twitter.com/fbarrospalacios/status/1065400449447153664","1065400449447153664")</f>
        <v>1065400449447153664</v>
      </c>
      <c r="F826" s="11" t="s">
        <v>4505</v>
      </c>
      <c r="G826" s="11" t="s">
        <v>4507</v>
      </c>
      <c r="H826" s="12"/>
      <c r="I826" s="13">
        <v>0</v>
      </c>
      <c r="J826" s="13">
        <v>0</v>
      </c>
      <c r="K826" s="14" t="str">
        <f>HYPERLINK("http://twitter.com/download/android","Twitter for Android")</f>
        <v>Twitter for Android</v>
      </c>
      <c r="L826" s="13">
        <v>162</v>
      </c>
      <c r="M826" s="13">
        <v>212</v>
      </c>
      <c r="N826" s="13">
        <v>2</v>
      </c>
      <c r="O826" s="15"/>
      <c r="P826" s="6">
        <v>43096.731689814813</v>
      </c>
      <c r="Q826" s="16" t="s">
        <v>4509</v>
      </c>
      <c r="R826" s="17" t="s">
        <v>4510</v>
      </c>
      <c r="S826" s="12"/>
      <c r="T826" s="12"/>
      <c r="U826" s="10" t="str">
        <f>HYPERLINK("https://pbs.twimg.com/profile_images/966082315280674816/pTnScEdD.jpg","View")</f>
        <v>View</v>
      </c>
    </row>
    <row r="827" spans="1:21" ht="71.400000000000006">
      <c r="A827" s="6">
        <v>43426.05569444444</v>
      </c>
      <c r="B827" s="7" t="str">
        <f>HYPERLINK("https://twitter.com/FMFefemo","@FMFefemo")</f>
        <v>@FMFefemo</v>
      </c>
      <c r="C827" s="8" t="s">
        <v>2101</v>
      </c>
      <c r="D827" s="9" t="s">
        <v>2102</v>
      </c>
      <c r="E827" s="10" t="str">
        <f>HYPERLINK("https://twitter.com/FMFefemo/status/1065399511403716608","1065399511403716608")</f>
        <v>1065399511403716608</v>
      </c>
      <c r="F827" s="16" t="s">
        <v>2104</v>
      </c>
      <c r="G827" s="11" t="s">
        <v>2105</v>
      </c>
      <c r="H827" s="12"/>
      <c r="I827" s="13">
        <v>0</v>
      </c>
      <c r="J827" s="13">
        <v>0</v>
      </c>
      <c r="K827" s="14" t="str">
        <f t="shared" ref="K827:K829" si="171">HYPERLINK("http://twitter.com/download/iphone","Twitter for iPhone")</f>
        <v>Twitter for iPhone</v>
      </c>
      <c r="L827" s="13">
        <v>54</v>
      </c>
      <c r="M827" s="13">
        <v>344</v>
      </c>
      <c r="N827" s="13">
        <v>0</v>
      </c>
      <c r="O827" s="15"/>
      <c r="P827" s="6">
        <v>41236.380509259259</v>
      </c>
      <c r="Q827" s="16" t="s">
        <v>2108</v>
      </c>
      <c r="R827" s="17" t="s">
        <v>2109</v>
      </c>
      <c r="S827" s="12"/>
      <c r="T827" s="12"/>
      <c r="U827" s="10" t="str">
        <f>HYPERLINK("https://pbs.twimg.com/profile_images/713840505684115456/tkBwcl1P.jpg","View")</f>
        <v>View</v>
      </c>
    </row>
    <row r="828" spans="1:21" ht="30.6">
      <c r="A828" s="6">
        <v>43426.046921296293</v>
      </c>
      <c r="B828" s="7" t="str">
        <f>HYPERLINK("https://twitter.com/Frank_Mercader","@Frank_Mercader")</f>
        <v>@Frank_Mercader</v>
      </c>
      <c r="C828" s="8" t="s">
        <v>4516</v>
      </c>
      <c r="D828" s="9" t="s">
        <v>4518</v>
      </c>
      <c r="E828" s="10" t="str">
        <f>HYPERLINK("https://twitter.com/Frank_Mercader/status/1065396331118768129","1065396331118768129")</f>
        <v>1065396331118768129</v>
      </c>
      <c r="F828" s="12"/>
      <c r="G828" s="11" t="s">
        <v>4520</v>
      </c>
      <c r="H828" s="12"/>
      <c r="I828" s="13">
        <v>1</v>
      </c>
      <c r="J828" s="13">
        <v>3</v>
      </c>
      <c r="K828" s="14" t="str">
        <f t="shared" si="171"/>
        <v>Twitter for iPhone</v>
      </c>
      <c r="L828" s="13">
        <v>1086</v>
      </c>
      <c r="M828" s="13">
        <v>1503</v>
      </c>
      <c r="N828" s="13">
        <v>2</v>
      </c>
      <c r="O828" s="15"/>
      <c r="P828" s="6">
        <v>42706.297754629632</v>
      </c>
      <c r="Q828" s="16" t="s">
        <v>310</v>
      </c>
      <c r="R828" s="17" t="s">
        <v>4521</v>
      </c>
      <c r="S828" s="12"/>
      <c r="T828" s="12"/>
      <c r="U828" s="10" t="str">
        <f>HYPERLINK("https://pbs.twimg.com/profile_images/1054375997586530304/jMpDwWZG.jpg","View")</f>
        <v>View</v>
      </c>
    </row>
    <row r="829" spans="1:21" ht="40.799999999999997">
      <c r="A829" s="6">
        <v>43426.046261574069</v>
      </c>
      <c r="B829" s="7" t="str">
        <f>HYPERLINK("https://twitter.com/kanyjo86Sfc","@kanyjo86Sfc")</f>
        <v>@kanyjo86Sfc</v>
      </c>
      <c r="C829" s="8" t="s">
        <v>2110</v>
      </c>
      <c r="D829" s="9" t="s">
        <v>2111</v>
      </c>
      <c r="E829" s="10" t="str">
        <f>HYPERLINK("https://twitter.com/kanyjo86Sfc/status/1065396095214383105","1065396095214383105")</f>
        <v>1065396095214383105</v>
      </c>
      <c r="F829" s="12"/>
      <c r="G829" s="12"/>
      <c r="H829" s="12"/>
      <c r="I829" s="13">
        <v>0</v>
      </c>
      <c r="J829" s="13">
        <v>1</v>
      </c>
      <c r="K829" s="14" t="str">
        <f t="shared" si="171"/>
        <v>Twitter for iPhone</v>
      </c>
      <c r="L829" s="13">
        <v>40</v>
      </c>
      <c r="M829" s="13">
        <v>164</v>
      </c>
      <c r="N829" s="13">
        <v>0</v>
      </c>
      <c r="O829" s="15"/>
      <c r="P829" s="6">
        <v>43230.881712962961</v>
      </c>
      <c r="Q829" s="16" t="s">
        <v>2112</v>
      </c>
      <c r="R829" s="17" t="s">
        <v>2113</v>
      </c>
      <c r="S829" s="12"/>
      <c r="T829" s="12"/>
      <c r="U829" s="10" t="str">
        <f>HYPERLINK("https://pbs.twimg.com/profile_images/1061614186088800256/pDs1D-p2.jpg","View")</f>
        <v>View</v>
      </c>
    </row>
    <row r="830" spans="1:21" ht="20.399999999999999">
      <c r="A830" s="6">
        <v>43426.039884259255</v>
      </c>
      <c r="B830" s="7" t="str">
        <f>HYPERLINK("https://twitter.com/joseantoniogo43","@joseantoniogo43")</f>
        <v>@joseantoniogo43</v>
      </c>
      <c r="C830" s="8" t="s">
        <v>2784</v>
      </c>
      <c r="D830" s="9" t="s">
        <v>4528</v>
      </c>
      <c r="E830" s="10" t="str">
        <f>HYPERLINK("https://twitter.com/joseantoniogo43/status/1065393782181584897","1065393782181584897")</f>
        <v>1065393782181584897</v>
      </c>
      <c r="F830" s="11" t="s">
        <v>1228</v>
      </c>
      <c r="G830" s="12"/>
      <c r="H830" s="12"/>
      <c r="I830" s="13">
        <v>1</v>
      </c>
      <c r="J830" s="13">
        <v>0</v>
      </c>
      <c r="K830" s="14" t="str">
        <f>HYPERLINK("http://twitter.com/download/android","Twitter for Android")</f>
        <v>Twitter for Android</v>
      </c>
      <c r="L830" s="13">
        <v>4100</v>
      </c>
      <c r="M830" s="13">
        <v>4242</v>
      </c>
      <c r="N830" s="13">
        <v>39</v>
      </c>
      <c r="O830" s="15"/>
      <c r="P830" s="6">
        <v>40845.495509259257</v>
      </c>
      <c r="Q830" s="12"/>
      <c r="R830" s="19"/>
      <c r="S830" s="12"/>
      <c r="T830" s="12"/>
      <c r="U830" s="10" t="str">
        <f>HYPERLINK("https://pbs.twimg.com/profile_images/3576388686/a66d7c55b1a8af804079aea3e66d3f4f.jpeg","View")</f>
        <v>View</v>
      </c>
    </row>
    <row r="831" spans="1:21" ht="40.799999999999997">
      <c r="A831" s="6">
        <v>43426.039456018523</v>
      </c>
      <c r="B831" s="7" t="str">
        <f>HYPERLINK("https://twitter.com/domenec_ortiz","@domenec_ortiz")</f>
        <v>@domenec_ortiz</v>
      </c>
      <c r="C831" s="8" t="s">
        <v>3016</v>
      </c>
      <c r="D831" s="9" t="s">
        <v>1963</v>
      </c>
      <c r="E831" s="10" t="str">
        <f>HYPERLINK("https://twitter.com/domenec_ortiz/status/1065393629441785856","1065393629441785856")</f>
        <v>1065393629441785856</v>
      </c>
      <c r="F831" s="11" t="s">
        <v>1700</v>
      </c>
      <c r="G831" s="12"/>
      <c r="H831" s="12"/>
      <c r="I831" s="13">
        <v>0</v>
      </c>
      <c r="J831" s="13">
        <v>0</v>
      </c>
      <c r="K831" s="14" t="str">
        <f>HYPERLINK("http://twitter.com/download/iphone","Twitter for iPhone")</f>
        <v>Twitter for iPhone</v>
      </c>
      <c r="L831" s="13">
        <v>9268</v>
      </c>
      <c r="M831" s="13">
        <v>5970</v>
      </c>
      <c r="N831" s="13">
        <v>73</v>
      </c>
      <c r="O831" s="15"/>
      <c r="P831" s="6">
        <v>41310.775046296294</v>
      </c>
      <c r="Q831" s="16" t="s">
        <v>3021</v>
      </c>
      <c r="R831" s="17" t="s">
        <v>3022</v>
      </c>
      <c r="S831" s="12"/>
      <c r="T831" s="12"/>
      <c r="U831" s="10" t="str">
        <f>HYPERLINK("https://pbs.twimg.com/profile_images/378800000699264746/5987c0916b8a717f3bb1b4d28f125346.jpeg","View")</f>
        <v>View</v>
      </c>
    </row>
    <row r="832" spans="1:21" ht="40.799999999999997">
      <c r="A832" s="6">
        <v>43426.038622685184</v>
      </c>
      <c r="B832" s="7" t="str">
        <f>HYPERLINK("https://twitter.com/KoldoErrioxa","@KoldoErrioxa")</f>
        <v>@KoldoErrioxa</v>
      </c>
      <c r="C832" s="8" t="s">
        <v>2114</v>
      </c>
      <c r="D832" s="9" t="s">
        <v>2115</v>
      </c>
      <c r="E832" s="10" t="str">
        <f>HYPERLINK("https://twitter.com/KoldoErrioxa/status/1065393325140819968","1065393325140819968")</f>
        <v>1065393325140819968</v>
      </c>
      <c r="F832" s="11" t="s">
        <v>2116</v>
      </c>
      <c r="G832" s="12"/>
      <c r="H832" s="12"/>
      <c r="I832" s="13">
        <v>0</v>
      </c>
      <c r="J832" s="13">
        <v>0</v>
      </c>
      <c r="K832" s="14" t="str">
        <f>HYPERLINK("http://twitter.com/download/android","Twitter for Android")</f>
        <v>Twitter for Android</v>
      </c>
      <c r="L832" s="13">
        <v>550</v>
      </c>
      <c r="M832" s="13">
        <v>270</v>
      </c>
      <c r="N832" s="13">
        <v>10</v>
      </c>
      <c r="O832" s="15"/>
      <c r="P832" s="6">
        <v>42122.81450231481</v>
      </c>
      <c r="Q832" s="12"/>
      <c r="R832" s="17" t="s">
        <v>2117</v>
      </c>
      <c r="S832" s="12"/>
      <c r="T832" s="12"/>
      <c r="U832" s="10" t="str">
        <f>HYPERLINK("https://pbs.twimg.com/profile_images/802159746191073280/xgdw9dIl.jpg","View")</f>
        <v>View</v>
      </c>
    </row>
    <row r="833" spans="1:21" ht="30.6">
      <c r="A833" s="6">
        <v>43426.035694444443</v>
      </c>
      <c r="B833" s="7" t="str">
        <f>HYPERLINK("https://twitter.com/Mari_ano_Rajiao","@Mari_ano_Rajiao")</f>
        <v>@Mari_ano_Rajiao</v>
      </c>
      <c r="C833" s="8" t="s">
        <v>4539</v>
      </c>
      <c r="D833" s="9" t="s">
        <v>4540</v>
      </c>
      <c r="E833" s="10" t="str">
        <f>HYPERLINK("https://twitter.com/Mari_ano_Rajiao/status/1065392263952502784","1065392263952502784")</f>
        <v>1065392263952502784</v>
      </c>
      <c r="F833" s="12"/>
      <c r="G833" s="12"/>
      <c r="H833" s="12"/>
      <c r="I833" s="13">
        <v>0</v>
      </c>
      <c r="J833" s="13">
        <v>0</v>
      </c>
      <c r="K833" s="14" t="str">
        <f>HYPERLINK("http://twitter.com","Twitter Web Client")</f>
        <v>Twitter Web Client</v>
      </c>
      <c r="L833" s="13">
        <v>676</v>
      </c>
      <c r="M833" s="13">
        <v>293</v>
      </c>
      <c r="N833" s="13">
        <v>26</v>
      </c>
      <c r="O833" s="15"/>
      <c r="P833" s="6">
        <v>42386.064398148148</v>
      </c>
      <c r="Q833" s="16" t="s">
        <v>4542</v>
      </c>
      <c r="R833" s="17" t="s">
        <v>4543</v>
      </c>
      <c r="S833" s="12"/>
      <c r="T833" s="12"/>
      <c r="U833" s="10" t="str">
        <f>HYPERLINK("https://pbs.twimg.com/profile_images/864254969876275200/a1Eu4ChB.jpg","View")</f>
        <v>View</v>
      </c>
    </row>
    <row r="834" spans="1:21" ht="102">
      <c r="A834" s="6">
        <v>43426.033333333333</v>
      </c>
      <c r="B834" s="7" t="str">
        <f>HYPERLINK("https://twitter.com/cspescados","@cspescados")</f>
        <v>@cspescados</v>
      </c>
      <c r="C834" s="8" t="s">
        <v>4544</v>
      </c>
      <c r="D834" s="9" t="s">
        <v>4545</v>
      </c>
      <c r="E834" s="10" t="str">
        <f>HYPERLINK("https://twitter.com/cspescados/status/1065391407890804736","1065391407890804736")</f>
        <v>1065391407890804736</v>
      </c>
      <c r="F834" s="11" t="s">
        <v>4546</v>
      </c>
      <c r="G834" s="12"/>
      <c r="H834" s="12"/>
      <c r="I834" s="13">
        <v>8</v>
      </c>
      <c r="J834" s="13">
        <v>21</v>
      </c>
      <c r="K834" s="14" t="str">
        <f>HYPERLINK("https://about.twitter.com/products/tweetdeck","TweetDeck")</f>
        <v>TweetDeck</v>
      </c>
      <c r="L834" s="13">
        <v>14940</v>
      </c>
      <c r="M834" s="13">
        <v>819</v>
      </c>
      <c r="N834" s="13">
        <v>127</v>
      </c>
      <c r="O834" s="15"/>
      <c r="P834" s="6">
        <v>42097.732581018514</v>
      </c>
      <c r="Q834" s="16" t="s">
        <v>4547</v>
      </c>
      <c r="R834" s="17" t="s">
        <v>4548</v>
      </c>
      <c r="S834" s="11" t="s">
        <v>4549</v>
      </c>
      <c r="T834" s="12"/>
      <c r="U834" s="10" t="str">
        <f>HYPERLINK("https://pbs.twimg.com/profile_images/600268890959126528/aC9kvTK_.jpg","View")</f>
        <v>View</v>
      </c>
    </row>
    <row r="835" spans="1:21" ht="20.399999999999999">
      <c r="A835" s="6">
        <v>43426.033101851848</v>
      </c>
      <c r="B835" s="7" t="str">
        <f>HYPERLINK("https://twitter.com/mecao1","@mecao1")</f>
        <v>@mecao1</v>
      </c>
      <c r="C835" s="8" t="s">
        <v>4551</v>
      </c>
      <c r="D835" s="9" t="s">
        <v>4552</v>
      </c>
      <c r="E835" s="10" t="str">
        <f>HYPERLINK("https://twitter.com/mecao1/status/1065391326382964736","1065391326382964736")</f>
        <v>1065391326382964736</v>
      </c>
      <c r="F835" s="11" t="s">
        <v>4555</v>
      </c>
      <c r="G835" s="12"/>
      <c r="H835" s="12"/>
      <c r="I835" s="13">
        <v>0</v>
      </c>
      <c r="J835" s="13">
        <v>0</v>
      </c>
      <c r="K835" s="14" t="str">
        <f>HYPERLINK("http://twitter.com","Twitter Web Client")</f>
        <v>Twitter Web Client</v>
      </c>
      <c r="L835" s="13">
        <v>182</v>
      </c>
      <c r="M835" s="13">
        <v>617</v>
      </c>
      <c r="N835" s="13">
        <v>3</v>
      </c>
      <c r="O835" s="15"/>
      <c r="P835" s="6">
        <v>40690.343587962961</v>
      </c>
      <c r="Q835" s="12"/>
      <c r="R835" s="19"/>
      <c r="S835" s="12"/>
      <c r="T835" s="12"/>
      <c r="U835" s="10" t="str">
        <f>HYPERLINK("https://pbs.twimg.com/profile_images/1044252509773213696/UnyeqFy6.png","View")</f>
        <v>View</v>
      </c>
    </row>
    <row r="836" spans="1:21" ht="91.8">
      <c r="A836" s="6">
        <v>43426.032673611116</v>
      </c>
      <c r="B836" s="7" t="str">
        <f>HYPERLINK("https://twitter.com/maria8769","@maria8769")</f>
        <v>@maria8769</v>
      </c>
      <c r="C836" s="8" t="s">
        <v>2118</v>
      </c>
      <c r="D836" s="9" t="s">
        <v>2120</v>
      </c>
      <c r="E836" s="10" t="str">
        <f>HYPERLINK("https://twitter.com/maria8769/status/1065391168064765960","1065391168064765960")</f>
        <v>1065391168064765960</v>
      </c>
      <c r="F836" s="16" t="s">
        <v>2121</v>
      </c>
      <c r="G836" s="12"/>
      <c r="H836" s="12"/>
      <c r="I836" s="13">
        <v>3</v>
      </c>
      <c r="J836" s="13">
        <v>14</v>
      </c>
      <c r="K836" s="14" t="str">
        <f>HYPERLINK("http://twitter.com/#!/download/ipad","Twitter for iPad")</f>
        <v>Twitter for iPad</v>
      </c>
      <c r="L836" s="13">
        <v>5762</v>
      </c>
      <c r="M836" s="13">
        <v>946</v>
      </c>
      <c r="N836" s="13">
        <v>28</v>
      </c>
      <c r="O836" s="15"/>
      <c r="P836" s="6">
        <v>41038.682719907403</v>
      </c>
      <c r="Q836" s="16" t="s">
        <v>310</v>
      </c>
      <c r="R836" s="17" t="s">
        <v>2122</v>
      </c>
      <c r="S836" s="11" t="s">
        <v>2123</v>
      </c>
      <c r="T836" s="12"/>
      <c r="U836" s="10" t="str">
        <f>HYPERLINK("https://pbs.twimg.com/profile_images/996514366873796608/66eIP6tf.jpg","View")</f>
        <v>View</v>
      </c>
    </row>
    <row r="837" spans="1:21" ht="40.799999999999997">
      <c r="A837" s="6">
        <v>43426.027465277773</v>
      </c>
      <c r="B837" s="7" t="str">
        <f>HYPERLINK("https://twitter.com/RevolucSocialYA","@RevolucSocialYA")</f>
        <v>@RevolucSocialYA</v>
      </c>
      <c r="C837" s="8" t="s">
        <v>2126</v>
      </c>
      <c r="D837" s="9" t="s">
        <v>2127</v>
      </c>
      <c r="E837" s="10" t="str">
        <f>HYPERLINK("https://twitter.com/RevolucSocialYA/status/1065389281743650816","1065389281743650816")</f>
        <v>1065389281743650816</v>
      </c>
      <c r="F837" s="12"/>
      <c r="G837" s="12"/>
      <c r="H837" s="12"/>
      <c r="I837" s="13">
        <v>0</v>
      </c>
      <c r="J837" s="13">
        <v>0</v>
      </c>
      <c r="K837" s="14" t="str">
        <f t="shared" ref="K837:K842" si="172">HYPERLINK("http://twitter.com/download/android","Twitter for Android")</f>
        <v>Twitter for Android</v>
      </c>
      <c r="L837" s="13">
        <v>65</v>
      </c>
      <c r="M837" s="13">
        <v>360</v>
      </c>
      <c r="N837" s="13">
        <v>0</v>
      </c>
      <c r="O837" s="15"/>
      <c r="P837" s="6">
        <v>43410.416597222225</v>
      </c>
      <c r="Q837" s="16" t="s">
        <v>2128</v>
      </c>
      <c r="R837" s="17" t="s">
        <v>2130</v>
      </c>
      <c r="S837" s="12"/>
      <c r="T837" s="12"/>
      <c r="U837" s="10" t="str">
        <f>HYPERLINK("https://pbs.twimg.com/profile_images/1059733509269610496/3OuUfzws.jpg","View")</f>
        <v>View</v>
      </c>
    </row>
    <row r="838" spans="1:21" ht="112.2">
      <c r="A838" s="6">
        <v>43426.027048611111</v>
      </c>
      <c r="B838" s="7" t="str">
        <f>HYPERLINK("https://twitter.com/Soredita","@Soredita")</f>
        <v>@Soredita</v>
      </c>
      <c r="C838" s="8" t="s">
        <v>2131</v>
      </c>
      <c r="D838" s="9" t="s">
        <v>2132</v>
      </c>
      <c r="E838" s="10" t="str">
        <f>HYPERLINK("https://twitter.com/Soredita/status/1065389133185646592","1065389133185646592")</f>
        <v>1065389133185646592</v>
      </c>
      <c r="F838" s="11" t="s">
        <v>2134</v>
      </c>
      <c r="G838" s="11" t="s">
        <v>2135</v>
      </c>
      <c r="H838" s="12"/>
      <c r="I838" s="13">
        <v>0</v>
      </c>
      <c r="J838" s="13">
        <v>0</v>
      </c>
      <c r="K838" s="14" t="str">
        <f t="shared" si="172"/>
        <v>Twitter for Android</v>
      </c>
      <c r="L838" s="13">
        <v>125</v>
      </c>
      <c r="M838" s="13">
        <v>559</v>
      </c>
      <c r="N838" s="13">
        <v>0</v>
      </c>
      <c r="O838" s="15"/>
      <c r="P838" s="6">
        <v>40323.752233796295</v>
      </c>
      <c r="Q838" s="12"/>
      <c r="R838" s="19"/>
      <c r="S838" s="12"/>
      <c r="T838" s="12"/>
      <c r="U838" s="10" t="str">
        <f>HYPERLINK("https://pbs.twimg.com/profile_images/958499652072075265/aOii93Ca.jpg","View")</f>
        <v>View</v>
      </c>
    </row>
    <row r="839" spans="1:21" ht="51">
      <c r="A839" s="6">
        <v>43426.025150462963</v>
      </c>
      <c r="B839" s="7" t="str">
        <f>HYPERLINK("https://twitter.com/Noquemecanso","@Noquemecanso")</f>
        <v>@Noquemecanso</v>
      </c>
      <c r="C839" s="8" t="s">
        <v>2137</v>
      </c>
      <c r="D839" s="9" t="s">
        <v>2138</v>
      </c>
      <c r="E839" s="10" t="str">
        <f>HYPERLINK("https://twitter.com/Noquemecanso/status/1065388441897238528","1065388441897238528")</f>
        <v>1065388441897238528</v>
      </c>
      <c r="F839" s="12"/>
      <c r="G839" s="12"/>
      <c r="H839" s="12"/>
      <c r="I839" s="13">
        <v>0</v>
      </c>
      <c r="J839" s="13">
        <v>0</v>
      </c>
      <c r="K839" s="14" t="str">
        <f t="shared" si="172"/>
        <v>Twitter for Android</v>
      </c>
      <c r="L839" s="13">
        <v>570</v>
      </c>
      <c r="M839" s="13">
        <v>2007</v>
      </c>
      <c r="N839" s="13">
        <v>5</v>
      </c>
      <c r="O839" s="15"/>
      <c r="P839" s="6">
        <v>39958.825370370367</v>
      </c>
      <c r="Q839" s="16" t="s">
        <v>2141</v>
      </c>
      <c r="R839" s="17" t="s">
        <v>2142</v>
      </c>
      <c r="S839" s="11" t="s">
        <v>2143</v>
      </c>
      <c r="T839" s="12"/>
      <c r="U839" s="10" t="str">
        <f>HYPERLINK("https://pbs.twimg.com/profile_images/948927279698202624/Cw2oPkeY.jpg","View")</f>
        <v>View</v>
      </c>
    </row>
    <row r="840" spans="1:21" ht="40.799999999999997">
      <c r="A840" s="6">
        <v>43426.022974537038</v>
      </c>
      <c r="B840" s="7" t="str">
        <f>HYPERLINK("https://twitter.com/Oscarteach","@Oscarteach")</f>
        <v>@Oscarteach</v>
      </c>
      <c r="C840" s="8" t="s">
        <v>4570</v>
      </c>
      <c r="D840" s="9" t="s">
        <v>4571</v>
      </c>
      <c r="E840" s="10" t="str">
        <f>HYPERLINK("https://twitter.com/Oscarteach/status/1065387655087775745","1065387655087775745")</f>
        <v>1065387655087775745</v>
      </c>
      <c r="F840" s="12"/>
      <c r="G840" s="12"/>
      <c r="H840" s="12"/>
      <c r="I840" s="13">
        <v>1</v>
      </c>
      <c r="J840" s="13">
        <v>0</v>
      </c>
      <c r="K840" s="14" t="str">
        <f t="shared" si="172"/>
        <v>Twitter for Android</v>
      </c>
      <c r="L840" s="13">
        <v>503</v>
      </c>
      <c r="M840" s="13">
        <v>286</v>
      </c>
      <c r="N840" s="13">
        <v>10</v>
      </c>
      <c r="O840" s="15"/>
      <c r="P840" s="6">
        <v>40746.066701388889</v>
      </c>
      <c r="Q840" s="12"/>
      <c r="R840" s="17" t="s">
        <v>4572</v>
      </c>
      <c r="S840" s="11" t="s">
        <v>4573</v>
      </c>
      <c r="T840" s="12"/>
      <c r="U840" s="10" t="str">
        <f>HYPERLINK("https://pbs.twimg.com/profile_images/772447615325708288/mOPVm5tJ.jpg","View")</f>
        <v>View</v>
      </c>
    </row>
    <row r="841" spans="1:21" ht="61.2">
      <c r="A841" s="6">
        <v>43426.018657407403</v>
      </c>
      <c r="B841" s="7" t="str">
        <f>HYPERLINK("https://twitter.com/joanmiquelm4","@joanmiquelm4")</f>
        <v>@joanmiquelm4</v>
      </c>
      <c r="C841" s="8" t="s">
        <v>1370</v>
      </c>
      <c r="D841" s="9" t="s">
        <v>2147</v>
      </c>
      <c r="E841" s="10" t="str">
        <f>HYPERLINK("https://twitter.com/joanmiquelm4/status/1065386091694428160","1065386091694428160")</f>
        <v>1065386091694428160</v>
      </c>
      <c r="F841" s="16" t="s">
        <v>2148</v>
      </c>
      <c r="G841" s="12"/>
      <c r="H841" s="12"/>
      <c r="I841" s="13">
        <v>0</v>
      </c>
      <c r="J841" s="13">
        <v>0</v>
      </c>
      <c r="K841" s="14" t="str">
        <f t="shared" si="172"/>
        <v>Twitter for Android</v>
      </c>
      <c r="L841" s="13">
        <v>186</v>
      </c>
      <c r="M841" s="13">
        <v>250</v>
      </c>
      <c r="N841" s="13">
        <v>22</v>
      </c>
      <c r="O841" s="15"/>
      <c r="P841" s="6">
        <v>41963.710092592592</v>
      </c>
      <c r="Q841" s="12"/>
      <c r="R841" s="17" t="s">
        <v>1373</v>
      </c>
      <c r="S841" s="12"/>
      <c r="T841" s="12"/>
      <c r="U841" s="10" t="str">
        <f>HYPERLINK("https://pbs.twimg.com/profile_images/535464079948017666/sd81e-bA.jpeg","View")</f>
        <v>View</v>
      </c>
    </row>
    <row r="842" spans="1:21" ht="20.399999999999999">
      <c r="A842" s="6">
        <v>43426.017013888893</v>
      </c>
      <c r="B842" s="7" t="str">
        <f>HYPERLINK("https://twitter.com/Elpa_jarraco","@Elpa_jarraco")</f>
        <v>@Elpa_jarraco</v>
      </c>
      <c r="C842" s="8" t="s">
        <v>2151</v>
      </c>
      <c r="D842" s="9" t="s">
        <v>2152</v>
      </c>
      <c r="E842" s="10" t="str">
        <f>HYPERLINK("https://twitter.com/Elpa_jarraco/status/1065385494513680385","1065385494513680385")</f>
        <v>1065385494513680385</v>
      </c>
      <c r="F842" s="12"/>
      <c r="G842" s="12"/>
      <c r="H842" s="12"/>
      <c r="I842" s="13">
        <v>0</v>
      </c>
      <c r="J842" s="13">
        <v>1</v>
      </c>
      <c r="K842" s="14" t="str">
        <f t="shared" si="172"/>
        <v>Twitter for Android</v>
      </c>
      <c r="L842" s="13">
        <v>57</v>
      </c>
      <c r="M842" s="13">
        <v>189</v>
      </c>
      <c r="N842" s="13">
        <v>0</v>
      </c>
      <c r="O842" s="15"/>
      <c r="P842" s="6">
        <v>42014.029918981483</v>
      </c>
      <c r="Q842" s="12"/>
      <c r="R842" s="17" t="s">
        <v>2153</v>
      </c>
      <c r="S842" s="12"/>
      <c r="T842" s="12"/>
      <c r="U842" s="10" t="str">
        <f>HYPERLINK("https://pbs.twimg.com/profile_images/904345518037446656/0ctskaix.jpg","View")</f>
        <v>View</v>
      </c>
    </row>
    <row r="843" spans="1:21" ht="40.799999999999997">
      <c r="A843" s="6">
        <v>43426.012523148151</v>
      </c>
      <c r="B843" s="7" t="str">
        <f>HYPERLINK("https://twitter.com/ilomana","@ilomana")</f>
        <v>@ilomana</v>
      </c>
      <c r="C843" s="8" t="s">
        <v>4581</v>
      </c>
      <c r="D843" s="9" t="s">
        <v>4582</v>
      </c>
      <c r="E843" s="10" t="str">
        <f>HYPERLINK("https://twitter.com/ilomana/status/1065383868172300289","1065383868172300289")</f>
        <v>1065383868172300289</v>
      </c>
      <c r="F843" s="12"/>
      <c r="G843" s="12"/>
      <c r="H843" s="12"/>
      <c r="I843" s="13">
        <v>0</v>
      </c>
      <c r="J843" s="13">
        <v>4</v>
      </c>
      <c r="K843" s="14" t="str">
        <f>HYPERLINK("http://twitter.com/download/iphone","Twitter for iPhone")</f>
        <v>Twitter for iPhone</v>
      </c>
      <c r="L843" s="13">
        <v>1885</v>
      </c>
      <c r="M843" s="13">
        <v>962</v>
      </c>
      <c r="N843" s="13">
        <v>40</v>
      </c>
      <c r="O843" s="15"/>
      <c r="P843" s="6">
        <v>40014.675104166665</v>
      </c>
      <c r="Q843" s="16" t="s">
        <v>118</v>
      </c>
      <c r="R843" s="17" t="s">
        <v>4584</v>
      </c>
      <c r="S843" s="11" t="s">
        <v>4585</v>
      </c>
      <c r="T843" s="12"/>
      <c r="U843" s="10" t="str">
        <f>HYPERLINK("https://pbs.twimg.com/profile_images/984189626066796544/2oyJIPpJ.jpg","View")</f>
        <v>View</v>
      </c>
    </row>
    <row r="844" spans="1:21" ht="30.6">
      <c r="A844" s="6">
        <v>43426.011435185181</v>
      </c>
      <c r="B844" s="7" t="str">
        <f>HYPERLINK("https://twitter.com/Elpa_jarraco","@Elpa_jarraco")</f>
        <v>@Elpa_jarraco</v>
      </c>
      <c r="C844" s="8" t="s">
        <v>2151</v>
      </c>
      <c r="D844" s="9" t="s">
        <v>2155</v>
      </c>
      <c r="E844" s="10" t="str">
        <f>HYPERLINK("https://twitter.com/Elpa_jarraco/status/1065383472678744065","1065383472678744065")</f>
        <v>1065383472678744065</v>
      </c>
      <c r="F844" s="12"/>
      <c r="G844" s="12"/>
      <c r="H844" s="12"/>
      <c r="I844" s="13">
        <v>1</v>
      </c>
      <c r="J844" s="13">
        <v>0</v>
      </c>
      <c r="K844" s="14" t="str">
        <f>HYPERLINK("http://twitter.com/download/android","Twitter for Android")</f>
        <v>Twitter for Android</v>
      </c>
      <c r="L844" s="13">
        <v>57</v>
      </c>
      <c r="M844" s="13">
        <v>189</v>
      </c>
      <c r="N844" s="13">
        <v>0</v>
      </c>
      <c r="O844" s="15"/>
      <c r="P844" s="6">
        <v>42014.029918981483</v>
      </c>
      <c r="Q844" s="12"/>
      <c r="R844" s="17" t="s">
        <v>2153</v>
      </c>
      <c r="S844" s="12"/>
      <c r="T844" s="12"/>
      <c r="U844" s="10" t="str">
        <f>HYPERLINK("https://pbs.twimg.com/profile_images/904345518037446656/0ctskaix.jpg","View")</f>
        <v>View</v>
      </c>
    </row>
    <row r="845" spans="1:21" ht="20.399999999999999">
      <c r="A845" s="6">
        <v>43426.010474537034</v>
      </c>
      <c r="B845" s="7" t="str">
        <f>HYPERLINK("https://twitter.com/demorganica","@demorganica")</f>
        <v>@demorganica</v>
      </c>
      <c r="C845" s="8" t="s">
        <v>4592</v>
      </c>
      <c r="D845" s="9" t="s">
        <v>4593</v>
      </c>
      <c r="E845" s="10" t="str">
        <f>HYPERLINK("https://twitter.com/demorganica/status/1065383125184696320","1065383125184696320")</f>
        <v>1065383125184696320</v>
      </c>
      <c r="F845" s="11" t="s">
        <v>4597</v>
      </c>
      <c r="G845" s="11" t="s">
        <v>4598</v>
      </c>
      <c r="H845" s="12"/>
      <c r="I845" s="13">
        <v>0</v>
      </c>
      <c r="J845" s="13">
        <v>0</v>
      </c>
      <c r="K845" s="14" t="str">
        <f>HYPERLINK("https://dlvrit.com/","dlvr.it")</f>
        <v>dlvr.it</v>
      </c>
      <c r="L845" s="13">
        <v>839</v>
      </c>
      <c r="M845" s="13">
        <v>668</v>
      </c>
      <c r="N845" s="13">
        <v>5</v>
      </c>
      <c r="O845" s="15"/>
      <c r="P845" s="6">
        <v>42256.995196759264</v>
      </c>
      <c r="Q845" s="16" t="s">
        <v>118</v>
      </c>
      <c r="R845" s="17" t="s">
        <v>4601</v>
      </c>
      <c r="S845" s="11" t="s">
        <v>4602</v>
      </c>
      <c r="T845" s="12"/>
      <c r="U845" s="10" t="str">
        <f>HYPERLINK("https://pbs.twimg.com/profile_images/718358312975261696/c43r0kLV.jpg","View")</f>
        <v>View</v>
      </c>
    </row>
    <row r="846" spans="1:21" ht="51">
      <c r="A846" s="6">
        <v>43426.004062499997</v>
      </c>
      <c r="B846" s="7" t="str">
        <f>HYPERLINK("https://twitter.com/infoGInfantino","@infoGInfantino")</f>
        <v>@infoGInfantino</v>
      </c>
      <c r="C846" s="8" t="s">
        <v>4604</v>
      </c>
      <c r="D846" s="9" t="s">
        <v>4605</v>
      </c>
      <c r="E846" s="10" t="str">
        <f>HYPERLINK("https://twitter.com/infoGInfantino/status/1065380799531413504","1065380799531413504")</f>
        <v>1065380799531413504</v>
      </c>
      <c r="F846" s="12"/>
      <c r="G846" s="12"/>
      <c r="H846" s="12"/>
      <c r="I846" s="13">
        <v>0</v>
      </c>
      <c r="J846" s="13">
        <v>0</v>
      </c>
      <c r="K846" s="14" t="str">
        <f>HYPERLINK("http://twitter.com/download/iphone","Twitter for iPhone")</f>
        <v>Twitter for iPhone</v>
      </c>
      <c r="L846" s="13">
        <v>414</v>
      </c>
      <c r="M846" s="13">
        <v>1001</v>
      </c>
      <c r="N846" s="13">
        <v>0</v>
      </c>
      <c r="O846" s="15"/>
      <c r="P846" s="6">
        <v>42875.909178240741</v>
      </c>
      <c r="Q846" s="12"/>
      <c r="R846" s="17" t="s">
        <v>4607</v>
      </c>
      <c r="S846" s="12"/>
      <c r="T846" s="12"/>
      <c r="U846" s="10" t="str">
        <f>HYPERLINK("https://pbs.twimg.com/profile_images/1065389654764068864/NZIfwOte.jpg","View")</f>
        <v>View</v>
      </c>
    </row>
    <row r="847" spans="1:21" ht="40.799999999999997">
      <c r="A847" s="6">
        <v>43426.003368055557</v>
      </c>
      <c r="B847" s="7" t="str">
        <f t="shared" ref="B847:B848" si="173">HYPERLINK("https://twitter.com/salvadorpastorb","@salvadorpastorb")</f>
        <v>@salvadorpastorb</v>
      </c>
      <c r="C847" s="8" t="s">
        <v>4608</v>
      </c>
      <c r="D847" s="9" t="s">
        <v>556</v>
      </c>
      <c r="E847" s="10" t="str">
        <f>HYPERLINK("https://twitter.com/salvadorpastorb/status/1065380550217748480","1065380550217748480")</f>
        <v>1065380550217748480</v>
      </c>
      <c r="F847" s="11" t="s">
        <v>557</v>
      </c>
      <c r="G847" s="12"/>
      <c r="H847" s="12"/>
      <c r="I847" s="13">
        <v>0</v>
      </c>
      <c r="J847" s="13">
        <v>0</v>
      </c>
      <c r="K847" s="14" t="str">
        <f t="shared" ref="K847:K848" si="174">HYPERLINK("http://twitter.com","Twitter Web Client")</f>
        <v>Twitter Web Client</v>
      </c>
      <c r="L847" s="13">
        <v>1851</v>
      </c>
      <c r="M847" s="13">
        <v>5004</v>
      </c>
      <c r="N847" s="13">
        <v>50</v>
      </c>
      <c r="O847" s="15"/>
      <c r="P847" s="6">
        <v>40972.034629629634</v>
      </c>
      <c r="Q847" s="16" t="s">
        <v>37</v>
      </c>
      <c r="R847" s="17" t="s">
        <v>4611</v>
      </c>
      <c r="S847" s="11" t="s">
        <v>4612</v>
      </c>
      <c r="T847" s="12"/>
      <c r="U847" s="10" t="str">
        <f t="shared" ref="U847:U848" si="175">HYPERLINK("https://pbs.twimg.com/profile_images/1872162133/Imagen__4_.jpg","View")</f>
        <v>View</v>
      </c>
    </row>
    <row r="848" spans="1:21" ht="40.799999999999997">
      <c r="A848" s="6">
        <v>43426.002824074079</v>
      </c>
      <c r="B848" s="7" t="str">
        <f t="shared" si="173"/>
        <v>@salvadorpastorb</v>
      </c>
      <c r="C848" s="8" t="s">
        <v>4608</v>
      </c>
      <c r="D848" s="9" t="s">
        <v>4308</v>
      </c>
      <c r="E848" s="10" t="str">
        <f>HYPERLINK("https://twitter.com/salvadorpastorb/status/1065380351839752200","1065380351839752200")</f>
        <v>1065380351839752200</v>
      </c>
      <c r="F848" s="11" t="s">
        <v>1228</v>
      </c>
      <c r="G848" s="12"/>
      <c r="H848" s="12"/>
      <c r="I848" s="13">
        <v>0</v>
      </c>
      <c r="J848" s="13">
        <v>0</v>
      </c>
      <c r="K848" s="14" t="str">
        <f t="shared" si="174"/>
        <v>Twitter Web Client</v>
      </c>
      <c r="L848" s="13">
        <v>1851</v>
      </c>
      <c r="M848" s="13">
        <v>5004</v>
      </c>
      <c r="N848" s="13">
        <v>50</v>
      </c>
      <c r="O848" s="15"/>
      <c r="P848" s="6">
        <v>40972.034629629634</v>
      </c>
      <c r="Q848" s="16" t="s">
        <v>37</v>
      </c>
      <c r="R848" s="17" t="s">
        <v>4611</v>
      </c>
      <c r="S848" s="11" t="s">
        <v>4612</v>
      </c>
      <c r="T848" s="12"/>
      <c r="U848" s="10" t="str">
        <f t="shared" si="175"/>
        <v>View</v>
      </c>
    </row>
    <row r="849" spans="1:21" ht="40.799999999999997">
      <c r="A849" s="6">
        <v>43426.002685185187</v>
      </c>
      <c r="B849" s="7" t="str">
        <f>HYPERLINK("https://twitter.com/LostinGranada","@LostinGranada")</f>
        <v>@LostinGranada</v>
      </c>
      <c r="C849" s="8" t="s">
        <v>4616</v>
      </c>
      <c r="D849" s="9" t="s">
        <v>4617</v>
      </c>
      <c r="E849" s="10" t="str">
        <f>HYPERLINK("https://twitter.com/LostinGranada/status/1065380303156510720","1065380303156510720")</f>
        <v>1065380303156510720</v>
      </c>
      <c r="F849" s="11" t="s">
        <v>4619</v>
      </c>
      <c r="G849" s="12"/>
      <c r="H849" s="12"/>
      <c r="I849" s="13">
        <v>0</v>
      </c>
      <c r="J849" s="13">
        <v>2</v>
      </c>
      <c r="K849" s="14" t="str">
        <f>HYPERLINK("https://mobile.twitter.com","Twitter Lite")</f>
        <v>Twitter Lite</v>
      </c>
      <c r="L849" s="13">
        <v>9017</v>
      </c>
      <c r="M849" s="13">
        <v>7710</v>
      </c>
      <c r="N849" s="13">
        <v>56</v>
      </c>
      <c r="O849" s="15"/>
      <c r="P849" s="6">
        <v>41307.89398148148</v>
      </c>
      <c r="Q849" s="16" t="s">
        <v>4621</v>
      </c>
      <c r="R849" s="17" t="s">
        <v>4622</v>
      </c>
      <c r="S849" s="12"/>
      <c r="T849" s="12"/>
      <c r="U849" s="10" t="str">
        <f>HYPERLINK("https://pbs.twimg.com/profile_images/912953832904253445/j2ItBtsk.jpg","View")</f>
        <v>View</v>
      </c>
    </row>
    <row r="850" spans="1:21" ht="51">
      <c r="A850" s="6">
        <v>43426.002152777779</v>
      </c>
      <c r="B850" s="7" t="str">
        <f>HYPERLINK("https://twitter.com/Esparroqui","@Esparroqui")</f>
        <v>@Esparroqui</v>
      </c>
      <c r="C850" s="8" t="s">
        <v>4623</v>
      </c>
      <c r="D850" s="9" t="s">
        <v>4624</v>
      </c>
      <c r="E850" s="10" t="str">
        <f>HYPERLINK("https://twitter.com/Esparroqui/status/1065380108360400896","1065380108360400896")</f>
        <v>1065380108360400896</v>
      </c>
      <c r="F850" s="12"/>
      <c r="G850" s="12"/>
      <c r="H850" s="12"/>
      <c r="I850" s="13">
        <v>115</v>
      </c>
      <c r="J850" s="13">
        <v>218</v>
      </c>
      <c r="K850" s="14" t="str">
        <f>HYPERLINK("http://twitter.com","Twitter Web Client")</f>
        <v>Twitter Web Client</v>
      </c>
      <c r="L850" s="13">
        <v>46540</v>
      </c>
      <c r="M850" s="13">
        <v>19062</v>
      </c>
      <c r="N850" s="13">
        <v>316</v>
      </c>
      <c r="O850" s="15"/>
      <c r="P850" s="6">
        <v>40877.700613425928</v>
      </c>
      <c r="Q850" s="16" t="s">
        <v>4626</v>
      </c>
      <c r="R850" s="17" t="s">
        <v>4627</v>
      </c>
      <c r="S850" s="11" t="s">
        <v>4628</v>
      </c>
      <c r="T850" s="12"/>
      <c r="U850" s="10" t="str">
        <f>HYPERLINK("https://pbs.twimg.com/profile_images/1017537354955882497/9PtegggA.jpg","View")</f>
        <v>View</v>
      </c>
    </row>
    <row r="851" spans="1:21" ht="13.2">
      <c r="A851" s="6">
        <v>43425.999814814815</v>
      </c>
      <c r="B851" s="7" t="str">
        <f>HYPERLINK("https://twitter.com/Praxedestielve","@Praxedestielve")</f>
        <v>@Praxedestielve</v>
      </c>
      <c r="C851" s="8" t="s">
        <v>4629</v>
      </c>
      <c r="D851" s="9" t="s">
        <v>4630</v>
      </c>
      <c r="E851" s="10" t="str">
        <f>HYPERLINK("https://twitter.com/Praxedestielve/status/1065379262914547713","1065379262914547713")</f>
        <v>1065379262914547713</v>
      </c>
      <c r="F851" s="11" t="s">
        <v>3214</v>
      </c>
      <c r="G851" s="12"/>
      <c r="H851" s="12"/>
      <c r="I851" s="13">
        <v>0</v>
      </c>
      <c r="J851" s="13">
        <v>1</v>
      </c>
      <c r="K851" s="14" t="str">
        <f t="shared" ref="K851:K852" si="176">HYPERLINK("http://twitter.com/download/android","Twitter for Android")</f>
        <v>Twitter for Android</v>
      </c>
      <c r="L851" s="13">
        <v>1506</v>
      </c>
      <c r="M851" s="13">
        <v>2572</v>
      </c>
      <c r="N851" s="13">
        <v>11</v>
      </c>
      <c r="O851" s="15"/>
      <c r="P851" s="6">
        <v>41265.663993055554</v>
      </c>
      <c r="Q851" s="16" t="s">
        <v>2216</v>
      </c>
      <c r="R851" s="19"/>
      <c r="S851" s="12"/>
      <c r="T851" s="12"/>
      <c r="U851" s="10" t="str">
        <f>HYPERLINK("https://pbs.twimg.com/profile_images/3086583307/16a00e3d4d6f12a372b9d770a384ca97.jpeg","View")</f>
        <v>View</v>
      </c>
    </row>
    <row r="852" spans="1:21" ht="20.399999999999999">
      <c r="A852" s="6">
        <v>43425.999814814815</v>
      </c>
      <c r="B852" s="7" t="str">
        <f>HYPERLINK("https://twitter.com/NivelDiosa","@NivelDiosa")</f>
        <v>@NivelDiosa</v>
      </c>
      <c r="C852" s="8" t="s">
        <v>2157</v>
      </c>
      <c r="D852" s="9" t="s">
        <v>2158</v>
      </c>
      <c r="E852" s="10" t="str">
        <f>HYPERLINK("https://twitter.com/NivelDiosa/status/1065379259915661316","1065379259915661316")</f>
        <v>1065379259915661316</v>
      </c>
      <c r="F852" s="12"/>
      <c r="G852" s="11" t="s">
        <v>2161</v>
      </c>
      <c r="H852" s="12"/>
      <c r="I852" s="13">
        <v>0</v>
      </c>
      <c r="J852" s="13">
        <v>0</v>
      </c>
      <c r="K852" s="14" t="str">
        <f t="shared" si="176"/>
        <v>Twitter for Android</v>
      </c>
      <c r="L852" s="13">
        <v>1989</v>
      </c>
      <c r="M852" s="13">
        <v>518</v>
      </c>
      <c r="N852" s="13">
        <v>36</v>
      </c>
      <c r="O852" s="15"/>
      <c r="P852" s="6">
        <v>40535.924016203702</v>
      </c>
      <c r="Q852" s="16" t="s">
        <v>978</v>
      </c>
      <c r="R852" s="17" t="s">
        <v>2162</v>
      </c>
      <c r="S852" s="12"/>
      <c r="T852" s="12"/>
      <c r="U852" s="10" t="str">
        <f>HYPERLINK("https://pbs.twimg.com/profile_images/972018280352362496/UBrhgn4f.jpg","View")</f>
        <v>View</v>
      </c>
    </row>
    <row r="853" spans="1:21" ht="30.6">
      <c r="A853" s="6">
        <v>43425.999745370369</v>
      </c>
      <c r="B853" s="7" t="str">
        <f>HYPERLINK("https://twitter.com/Jesussantosr","@Jesussantosr")</f>
        <v>@Jesussantosr</v>
      </c>
      <c r="C853" s="8" t="s">
        <v>4639</v>
      </c>
      <c r="D853" s="9" t="s">
        <v>4640</v>
      </c>
      <c r="E853" s="10" t="str">
        <f>HYPERLINK("https://twitter.com/Jesussantosr/status/1065379236620509189","1065379236620509189")</f>
        <v>1065379236620509189</v>
      </c>
      <c r="F853" s="16" t="s">
        <v>2486</v>
      </c>
      <c r="G853" s="11" t="s">
        <v>2487</v>
      </c>
      <c r="H853" s="12"/>
      <c r="I853" s="13">
        <v>0</v>
      </c>
      <c r="J853" s="13">
        <v>1</v>
      </c>
      <c r="K853" s="14" t="str">
        <f>HYPERLINK("http://twitter.com","Twitter Web Client")</f>
        <v>Twitter Web Client</v>
      </c>
      <c r="L853" s="13">
        <v>404</v>
      </c>
      <c r="M853" s="13">
        <v>1002</v>
      </c>
      <c r="N853" s="13">
        <v>7</v>
      </c>
      <c r="O853" s="15"/>
      <c r="P853" s="6">
        <v>40656.535196759258</v>
      </c>
      <c r="Q853" s="16" t="s">
        <v>4643</v>
      </c>
      <c r="R853" s="17" t="s">
        <v>4644</v>
      </c>
      <c r="S853" s="12"/>
      <c r="T853" s="12"/>
      <c r="U853" s="10" t="str">
        <f>HYPERLINK("https://pbs.twimg.com/profile_images/962624475576578048/87B8Oq96.jpg","View")</f>
        <v>View</v>
      </c>
    </row>
    <row r="854" spans="1:21" ht="40.799999999999997">
      <c r="A854" s="6">
        <v>43425.998113425929</v>
      </c>
      <c r="B854" s="7" t="str">
        <f>HYPERLINK("https://twitter.com/Ruben_P_M","@Ruben_P_M")</f>
        <v>@Ruben_P_M</v>
      </c>
      <c r="C854" s="8" t="s">
        <v>2166</v>
      </c>
      <c r="D854" s="9" t="s">
        <v>2167</v>
      </c>
      <c r="E854" s="10" t="str">
        <f>HYPERLINK("https://twitter.com/Ruben_P_M/status/1065378644254736384","1065378644254736384")</f>
        <v>1065378644254736384</v>
      </c>
      <c r="F854" s="12"/>
      <c r="G854" s="11" t="s">
        <v>2168</v>
      </c>
      <c r="H854" s="12"/>
      <c r="I854" s="13">
        <v>0</v>
      </c>
      <c r="J854" s="13">
        <v>0</v>
      </c>
      <c r="K854" s="14" t="str">
        <f t="shared" ref="K854:K859" si="177">HYPERLINK("http://twitter.com/download/android","Twitter for Android")</f>
        <v>Twitter for Android</v>
      </c>
      <c r="L854" s="13">
        <v>141</v>
      </c>
      <c r="M854" s="13">
        <v>283</v>
      </c>
      <c r="N854" s="13">
        <v>0</v>
      </c>
      <c r="O854" s="15"/>
      <c r="P854" s="6">
        <v>42583.786377314813</v>
      </c>
      <c r="Q854" s="16" t="s">
        <v>207</v>
      </c>
      <c r="R854" s="17" t="s">
        <v>2169</v>
      </c>
      <c r="S854" s="11" t="s">
        <v>2170</v>
      </c>
      <c r="T854" s="12"/>
      <c r="U854" s="10" t="str">
        <f>HYPERLINK("https://pbs.twimg.com/profile_images/760238402671353856/xEsyRiac.jpg","View")</f>
        <v>View</v>
      </c>
    </row>
    <row r="855" spans="1:21" ht="61.2">
      <c r="A855" s="6">
        <v>43425.997384259259</v>
      </c>
      <c r="B855" s="7" t="str">
        <f>HYPERLINK("https://twitter.com/xexu_18","@xexu_18")</f>
        <v>@xexu_18</v>
      </c>
      <c r="C855" s="8" t="s">
        <v>2172</v>
      </c>
      <c r="D855" s="9" t="s">
        <v>2173</v>
      </c>
      <c r="E855" s="10" t="str">
        <f>HYPERLINK("https://twitter.com/xexu_18/status/1065378381347332096","1065378381347332096")</f>
        <v>1065378381347332096</v>
      </c>
      <c r="F855" s="11" t="s">
        <v>2175</v>
      </c>
      <c r="G855" s="12"/>
      <c r="H855" s="12"/>
      <c r="I855" s="13">
        <v>0</v>
      </c>
      <c r="J855" s="13">
        <v>1</v>
      </c>
      <c r="K855" s="14" t="str">
        <f t="shared" si="177"/>
        <v>Twitter for Android</v>
      </c>
      <c r="L855" s="13">
        <v>224</v>
      </c>
      <c r="M855" s="13">
        <v>480</v>
      </c>
      <c r="N855" s="13">
        <v>9</v>
      </c>
      <c r="O855" s="15"/>
      <c r="P855" s="6">
        <v>40564.083472222221</v>
      </c>
      <c r="Q855" s="16" t="s">
        <v>2176</v>
      </c>
      <c r="R855" s="17" t="s">
        <v>2177</v>
      </c>
      <c r="S855" s="12"/>
      <c r="T855" s="12"/>
      <c r="U855" s="10" t="str">
        <f>HYPERLINK("https://pbs.twimg.com/profile_images/1039618615857868801/ZUbTHlHk.jpg","View")</f>
        <v>View</v>
      </c>
    </row>
    <row r="856" spans="1:21" ht="40.799999999999997">
      <c r="A856" s="6">
        <v>43425.994004629625</v>
      </c>
      <c r="B856" s="7" t="str">
        <f>HYPERLINK("https://twitter.com/Maria_Beatle","@Maria_Beatle")</f>
        <v>@Maria_Beatle</v>
      </c>
      <c r="C856" s="8" t="s">
        <v>2179</v>
      </c>
      <c r="D856" s="9" t="s">
        <v>2180</v>
      </c>
      <c r="E856" s="10" t="str">
        <f>HYPERLINK("https://twitter.com/Maria_Beatle/status/1065377158019891200","1065377158019891200")</f>
        <v>1065377158019891200</v>
      </c>
      <c r="F856" s="12"/>
      <c r="G856" s="12"/>
      <c r="H856" s="12"/>
      <c r="I856" s="13">
        <v>21</v>
      </c>
      <c r="J856" s="13">
        <v>37</v>
      </c>
      <c r="K856" s="14" t="str">
        <f t="shared" si="177"/>
        <v>Twitter for Android</v>
      </c>
      <c r="L856" s="13">
        <v>5415</v>
      </c>
      <c r="M856" s="13">
        <v>4426</v>
      </c>
      <c r="N856" s="13">
        <v>35</v>
      </c>
      <c r="O856" s="15"/>
      <c r="P856" s="6">
        <v>40968.767581018517</v>
      </c>
      <c r="Q856" s="16" t="s">
        <v>2181</v>
      </c>
      <c r="R856" s="17" t="s">
        <v>2182</v>
      </c>
      <c r="S856" s="11" t="s">
        <v>2183</v>
      </c>
      <c r="T856" s="12"/>
      <c r="U856" s="10" t="str">
        <f>HYPERLINK("https://pbs.twimg.com/profile_images/1062907747086278656/c69h9LcR.jpg","View")</f>
        <v>View</v>
      </c>
    </row>
    <row r="857" spans="1:21" ht="61.2">
      <c r="A857" s="6">
        <v>43425.99113425926</v>
      </c>
      <c r="B857" s="7" t="str">
        <f>HYPERLINK("https://twitter.com/marc27_O","@marc27_O")</f>
        <v>@marc27_O</v>
      </c>
      <c r="C857" s="8" t="s">
        <v>2184</v>
      </c>
      <c r="D857" s="9" t="s">
        <v>2185</v>
      </c>
      <c r="E857" s="10" t="str">
        <f>HYPERLINK("https://twitter.com/marc27_O/status/1065376114988720134","1065376114988720134")</f>
        <v>1065376114988720134</v>
      </c>
      <c r="F857" s="12"/>
      <c r="G857" s="12"/>
      <c r="H857" s="12"/>
      <c r="I857" s="13">
        <v>0</v>
      </c>
      <c r="J857" s="13">
        <v>0</v>
      </c>
      <c r="K857" s="14" t="str">
        <f t="shared" si="177"/>
        <v>Twitter for Android</v>
      </c>
      <c r="L857" s="13">
        <v>160</v>
      </c>
      <c r="M857" s="13">
        <v>753</v>
      </c>
      <c r="N857" s="13">
        <v>3</v>
      </c>
      <c r="O857" s="15"/>
      <c r="P857" s="6">
        <v>41523.966261574074</v>
      </c>
      <c r="Q857" s="16" t="s">
        <v>448</v>
      </c>
      <c r="R857" s="19"/>
      <c r="S857" s="12"/>
      <c r="T857" s="12"/>
      <c r="U857" s="10" t="str">
        <f>HYPERLINK("https://pbs.twimg.com/profile_images/1064862884629553153/yAsQf0VF.jpg","View")</f>
        <v>View</v>
      </c>
    </row>
    <row r="858" spans="1:21" ht="40.799999999999997">
      <c r="A858" s="6">
        <v>43425.987245370372</v>
      </c>
      <c r="B858" s="7" t="str">
        <f>HYPERLINK("https://twitter.com/oscargluengos","@oscargluengos")</f>
        <v>@oscargluengos</v>
      </c>
      <c r="C858" s="8" t="s">
        <v>2186</v>
      </c>
      <c r="D858" s="9" t="s">
        <v>2187</v>
      </c>
      <c r="E858" s="10" t="str">
        <f>HYPERLINK("https://twitter.com/oscargluengos/status/1065374708181417984","1065374708181417984")</f>
        <v>1065374708181417984</v>
      </c>
      <c r="F858" s="12"/>
      <c r="G858" s="12"/>
      <c r="H858" s="12"/>
      <c r="I858" s="13">
        <v>0</v>
      </c>
      <c r="J858" s="13">
        <v>0</v>
      </c>
      <c r="K858" s="14" t="str">
        <f t="shared" si="177"/>
        <v>Twitter for Android</v>
      </c>
      <c r="L858" s="13">
        <v>176</v>
      </c>
      <c r="M858" s="13">
        <v>517</v>
      </c>
      <c r="N858" s="13">
        <v>1</v>
      </c>
      <c r="O858" s="15"/>
      <c r="P858" s="6">
        <v>40612.68414351852</v>
      </c>
      <c r="Q858" s="16" t="s">
        <v>2188</v>
      </c>
      <c r="R858" s="17" t="s">
        <v>2189</v>
      </c>
      <c r="S858" s="12"/>
      <c r="T858" s="12"/>
      <c r="U858" s="10" t="str">
        <f>HYPERLINK("https://pbs.twimg.com/profile_images/1037106696806707202/-8XKBInb.jpg","View")</f>
        <v>View</v>
      </c>
    </row>
    <row r="859" spans="1:21" ht="20.399999999999999">
      <c r="A859" s="6">
        <v>43425.983101851853</v>
      </c>
      <c r="B859" s="7" t="str">
        <f>HYPERLINK("https://twitter.com/miguelguerrer17","@miguelguerrer17")</f>
        <v>@miguelguerrer17</v>
      </c>
      <c r="C859" s="8" t="s">
        <v>4654</v>
      </c>
      <c r="D859" s="9" t="s">
        <v>4528</v>
      </c>
      <c r="E859" s="10" t="str">
        <f>HYPERLINK("https://twitter.com/miguelguerrer17/status/1065373206893207552","1065373206893207552")</f>
        <v>1065373206893207552</v>
      </c>
      <c r="F859" s="11" t="s">
        <v>1228</v>
      </c>
      <c r="G859" s="12"/>
      <c r="H859" s="12"/>
      <c r="I859" s="13">
        <v>0</v>
      </c>
      <c r="J859" s="13">
        <v>0</v>
      </c>
      <c r="K859" s="14" t="str">
        <f t="shared" si="177"/>
        <v>Twitter for Android</v>
      </c>
      <c r="L859" s="13">
        <v>1142</v>
      </c>
      <c r="M859" s="13">
        <v>866</v>
      </c>
      <c r="N859" s="13">
        <v>16</v>
      </c>
      <c r="O859" s="15"/>
      <c r="P859" s="6">
        <v>40723.861678240741</v>
      </c>
      <c r="Q859" s="16" t="s">
        <v>4655</v>
      </c>
      <c r="R859" s="17" t="s">
        <v>4656</v>
      </c>
      <c r="S859" s="12"/>
      <c r="T859" s="12"/>
      <c r="U859" s="10" t="str">
        <f>HYPERLINK("https://pbs.twimg.com/profile_images/2296680408/xo2a0vildn2kpgw3veyh.jpeg","View")</f>
        <v>View</v>
      </c>
    </row>
    <row r="860" spans="1:21" ht="51">
      <c r="A860" s="6">
        <v>43425.982094907406</v>
      </c>
      <c r="B860" s="7" t="str">
        <f>HYPERLINK("https://twitter.com/gascuenha","@gascuenha")</f>
        <v>@gascuenha</v>
      </c>
      <c r="C860" s="8" t="s">
        <v>2190</v>
      </c>
      <c r="D860" s="9" t="s">
        <v>2191</v>
      </c>
      <c r="E860" s="10" t="str">
        <f>HYPERLINK("https://twitter.com/gascuenha/status/1065372838666866690","1065372838666866690")</f>
        <v>1065372838666866690</v>
      </c>
      <c r="F860" s="12"/>
      <c r="G860" s="11" t="s">
        <v>2192</v>
      </c>
      <c r="H860" s="12"/>
      <c r="I860" s="13">
        <v>1</v>
      </c>
      <c r="J860" s="13">
        <v>1</v>
      </c>
      <c r="K860" s="14" t="str">
        <f>HYPERLINK("http://twitter.com/download/iphone","Twitter for iPhone")</f>
        <v>Twitter for iPhone</v>
      </c>
      <c r="L860" s="13">
        <v>1224</v>
      </c>
      <c r="M860" s="13">
        <v>1764</v>
      </c>
      <c r="N860" s="13">
        <v>22</v>
      </c>
      <c r="O860" s="15"/>
      <c r="P860" s="6">
        <v>40567.752233796295</v>
      </c>
      <c r="Q860" s="16" t="s">
        <v>2196</v>
      </c>
      <c r="R860" s="17" t="s">
        <v>2197</v>
      </c>
      <c r="S860" s="12"/>
      <c r="T860" s="12"/>
      <c r="U860" s="10" t="str">
        <f>HYPERLINK("https://pbs.twimg.com/profile_images/1052998090075136002/x7sQYwyG.jpg","View")</f>
        <v>View</v>
      </c>
    </row>
    <row r="861" spans="1:21" ht="51">
      <c r="A861" s="6">
        <v>43425.980069444442</v>
      </c>
      <c r="B861" s="7" t="str">
        <f>HYPERLINK("https://twitter.com/ricardoblngr32","@ricardoblngr32")</f>
        <v>@ricardoblngr32</v>
      </c>
      <c r="C861" s="8" t="s">
        <v>2199</v>
      </c>
      <c r="D861" s="9" t="s">
        <v>2200</v>
      </c>
      <c r="E861" s="10" t="str">
        <f>HYPERLINK("https://twitter.com/ricardoblngr32/status/1065372106911830023","1065372106911830023")</f>
        <v>1065372106911830023</v>
      </c>
      <c r="F861" s="16" t="s">
        <v>64</v>
      </c>
      <c r="G861" s="11" t="s">
        <v>65</v>
      </c>
      <c r="H861" s="12"/>
      <c r="I861" s="13">
        <v>0</v>
      </c>
      <c r="J861" s="13">
        <v>1</v>
      </c>
      <c r="K861" s="14" t="str">
        <f>HYPERLINK("http://twitter.com/download/android","Twitter for Android")</f>
        <v>Twitter for Android</v>
      </c>
      <c r="L861" s="13">
        <v>493</v>
      </c>
      <c r="M861" s="13">
        <v>396</v>
      </c>
      <c r="N861" s="13">
        <v>6</v>
      </c>
      <c r="O861" s="15"/>
      <c r="P861" s="6">
        <v>40921.85019675926</v>
      </c>
      <c r="Q861" s="16" t="s">
        <v>189</v>
      </c>
      <c r="R861" s="17" t="s">
        <v>2201</v>
      </c>
      <c r="S861" s="12"/>
      <c r="T861" s="12"/>
      <c r="U861" s="10" t="str">
        <f>HYPERLINK("https://pbs.twimg.com/profile_images/1024704509828849665/ECfkHkVq.jpg","View")</f>
        <v>View</v>
      </c>
    </row>
    <row r="862" spans="1:21" ht="81.599999999999994">
      <c r="A862" s="6">
        <v>43425.978310185186</v>
      </c>
      <c r="B862" s="7" t="str">
        <f>HYPERLINK("https://twitter.com/fabiomunoz12","@fabiomunoz12")</f>
        <v>@fabiomunoz12</v>
      </c>
      <c r="C862" s="8" t="s">
        <v>2204</v>
      </c>
      <c r="D862" s="9" t="s">
        <v>2205</v>
      </c>
      <c r="E862" s="10" t="str">
        <f>HYPERLINK("https://twitter.com/fabiomunoz12/status/1065371468865986563","1065371468865986563")</f>
        <v>1065371468865986563</v>
      </c>
      <c r="F862" s="11" t="s">
        <v>2207</v>
      </c>
      <c r="G862" s="16" t="s">
        <v>2208</v>
      </c>
      <c r="H862" s="12"/>
      <c r="I862" s="13">
        <v>0</v>
      </c>
      <c r="J862" s="13">
        <v>1</v>
      </c>
      <c r="K862" s="14" t="str">
        <f>HYPERLINK("http://mvilla.it/fenix","Fenix 2")</f>
        <v>Fenix 2</v>
      </c>
      <c r="L862" s="13">
        <v>86</v>
      </c>
      <c r="M862" s="13">
        <v>219</v>
      </c>
      <c r="N862" s="13">
        <v>0</v>
      </c>
      <c r="O862" s="15"/>
      <c r="P862" s="6">
        <v>40546.690671296295</v>
      </c>
      <c r="Q862" s="16" t="s">
        <v>391</v>
      </c>
      <c r="R862" s="17" t="s">
        <v>2212</v>
      </c>
      <c r="S862" s="12"/>
      <c r="T862" s="12"/>
      <c r="U862" s="10" t="str">
        <f>HYPERLINK("https://pbs.twimg.com/profile_images/2714231836/c9d69fe1ff7862619a170a33df5792b6.jpeg","View")</f>
        <v>View</v>
      </c>
    </row>
    <row r="863" spans="1:21" ht="91.8">
      <c r="A863" s="6">
        <v>43425.976122685184</v>
      </c>
      <c r="B863" s="7" t="str">
        <f>HYPERLINK("https://twitter.com/PJT_Alpha","@PJT_Alpha")</f>
        <v>@PJT_Alpha</v>
      </c>
      <c r="C863" s="8" t="s">
        <v>4669</v>
      </c>
      <c r="D863" s="9" t="s">
        <v>4670</v>
      </c>
      <c r="E863" s="10" t="str">
        <f>HYPERLINK("https://twitter.com/PJT_Alpha/status/1065370677874778112","1065370677874778112")</f>
        <v>1065370677874778112</v>
      </c>
      <c r="F863" s="11" t="s">
        <v>4671</v>
      </c>
      <c r="G863" s="12"/>
      <c r="H863" s="12"/>
      <c r="I863" s="13">
        <v>0</v>
      </c>
      <c r="J863" s="13">
        <v>0</v>
      </c>
      <c r="K863" s="14" t="str">
        <f>HYPERLINK("http://twitter.com/download/android","Twitter for Android")</f>
        <v>Twitter for Android</v>
      </c>
      <c r="L863" s="13">
        <v>98</v>
      </c>
      <c r="M863" s="13">
        <v>168</v>
      </c>
      <c r="N863" s="13">
        <v>0</v>
      </c>
      <c r="O863" s="15"/>
      <c r="P863" s="6">
        <v>41400.820162037038</v>
      </c>
      <c r="Q863" s="16" t="s">
        <v>4672</v>
      </c>
      <c r="R863" s="17" t="s">
        <v>4673</v>
      </c>
      <c r="S863" s="11" t="s">
        <v>4674</v>
      </c>
      <c r="T863" s="12"/>
      <c r="U863" s="10" t="str">
        <f>HYPERLINK("https://pbs.twimg.com/profile_images/950889306406703109/922u6Qnp.jpg","View")</f>
        <v>View</v>
      </c>
    </row>
    <row r="864" spans="1:21" ht="102">
      <c r="A864" s="6">
        <v>43425.973530092597</v>
      </c>
      <c r="B864" s="7" t="str">
        <f>HYPERLINK("https://twitter.com/_MarioLM","@_MarioLM")</f>
        <v>@_MarioLM</v>
      </c>
      <c r="C864" s="8" t="s">
        <v>2213</v>
      </c>
      <c r="D864" s="9" t="s">
        <v>2214</v>
      </c>
      <c r="E864" s="10" t="str">
        <f>HYPERLINK("https://twitter.com/_MarioLM/status/1065369736605827073","1065369736605827073")</f>
        <v>1065369736605827073</v>
      </c>
      <c r="F864" s="11" t="s">
        <v>2215</v>
      </c>
      <c r="G864" s="11" t="s">
        <v>401</v>
      </c>
      <c r="H864" s="12"/>
      <c r="I864" s="13">
        <v>0</v>
      </c>
      <c r="J864" s="13">
        <v>1</v>
      </c>
      <c r="K864" s="14" t="str">
        <f t="shared" ref="K864:K865" si="178">HYPERLINK("http://twitter.com","Twitter Web Client")</f>
        <v>Twitter Web Client</v>
      </c>
      <c r="L864" s="13">
        <v>132</v>
      </c>
      <c r="M864" s="13">
        <v>197</v>
      </c>
      <c r="N864" s="13">
        <v>1</v>
      </c>
      <c r="O864" s="15"/>
      <c r="P864" s="6">
        <v>40239.602465277778</v>
      </c>
      <c r="Q864" s="16" t="s">
        <v>2216</v>
      </c>
      <c r="R864" s="17" t="s">
        <v>2217</v>
      </c>
      <c r="S864" s="12"/>
      <c r="T864" s="12"/>
      <c r="U864" s="10" t="str">
        <f>HYPERLINK("https://pbs.twimg.com/profile_images/990554282452770816/aLHcn7x3.jpg","View")</f>
        <v>View</v>
      </c>
    </row>
    <row r="865" spans="1:21" ht="51">
      <c r="A865" s="6">
        <v>43425.972997685181</v>
      </c>
      <c r="B865" s="7" t="str">
        <f>HYPERLINK("https://twitter.com/BrujulaOndaCero","@BrujulaOndaCero")</f>
        <v>@BrujulaOndaCero</v>
      </c>
      <c r="C865" s="8" t="s">
        <v>2218</v>
      </c>
      <c r="D865" s="9" t="s">
        <v>2219</v>
      </c>
      <c r="E865" s="10" t="str">
        <f>HYPERLINK("https://twitter.com/BrujulaOndaCero/status/1065369544842248194","1065369544842248194")</f>
        <v>1065369544842248194</v>
      </c>
      <c r="F865" s="12"/>
      <c r="G865" s="11" t="s">
        <v>2220</v>
      </c>
      <c r="H865" s="12"/>
      <c r="I865" s="13">
        <v>0</v>
      </c>
      <c r="J865" s="13">
        <v>0</v>
      </c>
      <c r="K865" s="14" t="str">
        <f t="shared" si="178"/>
        <v>Twitter Web Client</v>
      </c>
      <c r="L865" s="13">
        <v>87767</v>
      </c>
      <c r="M865" s="13">
        <v>1162</v>
      </c>
      <c r="N865" s="13">
        <v>1457</v>
      </c>
      <c r="O865" s="18" t="s">
        <v>36</v>
      </c>
      <c r="P865" s="6">
        <v>40557.455752314811</v>
      </c>
      <c r="Q865" s="12"/>
      <c r="R865" s="17" t="s">
        <v>2221</v>
      </c>
      <c r="S865" s="11" t="s">
        <v>2222</v>
      </c>
      <c r="T865" s="12"/>
      <c r="U865" s="10" t="str">
        <f>HYPERLINK("https://pbs.twimg.com/profile_images/1217122255/perfil-tweet.jpg","View")</f>
        <v>View</v>
      </c>
    </row>
    <row r="866" spans="1:21" ht="40.799999999999997">
      <c r="A866" s="6">
        <v>43425.972696759258</v>
      </c>
      <c r="B866" s="7" t="str">
        <f>HYPERLINK("https://twitter.com/Ralikiki","@Ralikiki")</f>
        <v>@Ralikiki</v>
      </c>
      <c r="C866" s="8" t="s">
        <v>4681</v>
      </c>
      <c r="D866" s="9" t="s">
        <v>4682</v>
      </c>
      <c r="E866" s="10" t="str">
        <f>HYPERLINK("https://twitter.com/Ralikiki/status/1065369433571553281","1065369433571553281")</f>
        <v>1065369433571553281</v>
      </c>
      <c r="F866" s="12"/>
      <c r="G866" s="12"/>
      <c r="H866" s="12"/>
      <c r="I866" s="13">
        <v>1</v>
      </c>
      <c r="J866" s="13">
        <v>4</v>
      </c>
      <c r="K866" s="14" t="str">
        <f>HYPERLINK("https://mobile.twitter.com","Twitter Lite")</f>
        <v>Twitter Lite</v>
      </c>
      <c r="L866" s="13">
        <v>167</v>
      </c>
      <c r="M866" s="13">
        <v>78</v>
      </c>
      <c r="N866" s="13">
        <v>3</v>
      </c>
      <c r="O866" s="15"/>
      <c r="P866" s="6">
        <v>41535.787118055552</v>
      </c>
      <c r="Q866" s="16" t="s">
        <v>4332</v>
      </c>
      <c r="R866" s="17" t="s">
        <v>4685</v>
      </c>
      <c r="S866" s="12"/>
      <c r="T866" s="12"/>
      <c r="U866" s="10" t="str">
        <f>HYPERLINK("https://pbs.twimg.com/profile_images/1030506674585587714/xVqfYeYI.jpg","View")</f>
        <v>View</v>
      </c>
    </row>
    <row r="867" spans="1:21" ht="51">
      <c r="A867" s="6">
        <v>43425.972337962958</v>
      </c>
      <c r="B867" s="7" t="str">
        <f>HYPERLINK("https://twitter.com/rosamariaartal","@rosamariaartal")</f>
        <v>@rosamariaartal</v>
      </c>
      <c r="C867" s="8" t="s">
        <v>4686</v>
      </c>
      <c r="D867" s="9" t="s">
        <v>4687</v>
      </c>
      <c r="E867" s="10" t="str">
        <f>HYPERLINK("https://twitter.com/rosamariaartal/status/1065369302893821957","1065369302893821957")</f>
        <v>1065369302893821957</v>
      </c>
      <c r="F867" s="11" t="s">
        <v>4688</v>
      </c>
      <c r="G867" s="11" t="s">
        <v>4689</v>
      </c>
      <c r="H867" s="12"/>
      <c r="I867" s="13">
        <v>11</v>
      </c>
      <c r="J867" s="13">
        <v>12</v>
      </c>
      <c r="K867" s="14" t="str">
        <f t="shared" ref="K867:K868" si="179">HYPERLINK("http://twitter.com/download/android","Twitter for Android")</f>
        <v>Twitter for Android</v>
      </c>
      <c r="L867" s="13">
        <v>103731</v>
      </c>
      <c r="M867" s="13">
        <v>3006</v>
      </c>
      <c r="N867" s="13">
        <v>2702</v>
      </c>
      <c r="O867" s="15"/>
      <c r="P867" s="6">
        <v>40094.819687499999</v>
      </c>
      <c r="Q867" s="16" t="s">
        <v>440</v>
      </c>
      <c r="R867" s="17" t="s">
        <v>4692</v>
      </c>
      <c r="S867" s="11" t="s">
        <v>4693</v>
      </c>
      <c r="T867" s="12"/>
      <c r="U867" s="10" t="str">
        <f>HYPERLINK("https://pbs.twimg.com/profile_images/780888265238974464/fOR4WuD5.jpg","View")</f>
        <v>View</v>
      </c>
    </row>
    <row r="868" spans="1:21" ht="20.399999999999999">
      <c r="A868" s="6">
        <v>43425.971435185187</v>
      </c>
      <c r="B868" s="7" t="str">
        <f>HYPERLINK("https://twitter.com/albertoclorenzo","@albertoclorenzo")</f>
        <v>@albertoclorenzo</v>
      </c>
      <c r="C868" s="8" t="s">
        <v>2223</v>
      </c>
      <c r="D868" s="9" t="s">
        <v>2224</v>
      </c>
      <c r="E868" s="10" t="str">
        <f>HYPERLINK("https://twitter.com/albertoclorenzo/status/1065368976044240897","1065368976044240897")</f>
        <v>1065368976044240897</v>
      </c>
      <c r="F868" s="12"/>
      <c r="G868" s="11" t="s">
        <v>2225</v>
      </c>
      <c r="H868" s="12"/>
      <c r="I868" s="13">
        <v>0</v>
      </c>
      <c r="J868" s="13">
        <v>0</v>
      </c>
      <c r="K868" s="14" t="str">
        <f t="shared" si="179"/>
        <v>Twitter for Android</v>
      </c>
      <c r="L868" s="13">
        <v>475</v>
      </c>
      <c r="M868" s="13">
        <v>1182</v>
      </c>
      <c r="N868" s="13">
        <v>3</v>
      </c>
      <c r="O868" s="15"/>
      <c r="P868" s="6">
        <v>40528.531597222223</v>
      </c>
      <c r="Q868" s="12"/>
      <c r="R868" s="17" t="s">
        <v>2228</v>
      </c>
      <c r="S868" s="12"/>
      <c r="T868" s="12"/>
      <c r="U868" s="10" t="str">
        <f>HYPERLINK("https://pbs.twimg.com/profile_images/1005131991057092610/US5lzMMG.jpg","View")</f>
        <v>View</v>
      </c>
    </row>
    <row r="869" spans="1:21" ht="30.6">
      <c r="A869" s="6">
        <v>43425.971076388887</v>
      </c>
      <c r="B869" s="7" t="str">
        <f>HYPERLINK("https://twitter.com/alo123probando","@alo123probando")</f>
        <v>@alo123probando</v>
      </c>
      <c r="C869" s="8" t="s">
        <v>2232</v>
      </c>
      <c r="D869" s="9" t="s">
        <v>2233</v>
      </c>
      <c r="E869" s="10" t="str">
        <f>HYPERLINK("https://twitter.com/alo123probando/status/1065368848365424643","1065368848365424643")</f>
        <v>1065368848365424643</v>
      </c>
      <c r="F869" s="12"/>
      <c r="G869" s="12"/>
      <c r="H869" s="12"/>
      <c r="I869" s="13">
        <v>0</v>
      </c>
      <c r="J869" s="13">
        <v>1</v>
      </c>
      <c r="K869" s="14" t="str">
        <f>HYPERLINK("http://twitter.com/download/iphone","Twitter for iPhone")</f>
        <v>Twitter for iPhone</v>
      </c>
      <c r="L869" s="13">
        <v>233</v>
      </c>
      <c r="M869" s="13">
        <v>609</v>
      </c>
      <c r="N869" s="13">
        <v>6</v>
      </c>
      <c r="O869" s="15"/>
      <c r="P869" s="6">
        <v>40371.838368055556</v>
      </c>
      <c r="Q869" s="16" t="s">
        <v>2235</v>
      </c>
      <c r="R869" s="17" t="s">
        <v>2236</v>
      </c>
      <c r="S869" s="12"/>
      <c r="T869" s="12"/>
      <c r="U869" s="10" t="str">
        <f>HYPERLINK("https://pbs.twimg.com/profile_images/1535461361/finisterre.jpg","View")</f>
        <v>View</v>
      </c>
    </row>
    <row r="870" spans="1:21" ht="20.399999999999999">
      <c r="A870" s="6">
        <v>43425.969305555554</v>
      </c>
      <c r="B870" s="7" t="str">
        <f>HYPERLINK("https://twitter.com/pedrojabelenda","@pedrojabelenda")</f>
        <v>@pedrojabelenda</v>
      </c>
      <c r="C870" s="8" t="s">
        <v>4699</v>
      </c>
      <c r="D870" s="9" t="s">
        <v>4700</v>
      </c>
      <c r="E870" s="10" t="str">
        <f>HYPERLINK("https://twitter.com/pedrojabelenda/status/1065368206083276800","1065368206083276800")</f>
        <v>1065368206083276800</v>
      </c>
      <c r="F870" s="11" t="s">
        <v>2534</v>
      </c>
      <c r="G870" s="12"/>
      <c r="H870" s="12"/>
      <c r="I870" s="13">
        <v>0</v>
      </c>
      <c r="J870" s="13">
        <v>0</v>
      </c>
      <c r="K870" s="14" t="str">
        <f>HYPERLINK("http://twitter.com/#!/download/ipad","Twitter for iPad")</f>
        <v>Twitter for iPad</v>
      </c>
      <c r="L870" s="13">
        <v>191</v>
      </c>
      <c r="M870" s="13">
        <v>96</v>
      </c>
      <c r="N870" s="13">
        <v>1</v>
      </c>
      <c r="O870" s="15"/>
      <c r="P870" s="6">
        <v>41885.99931712963</v>
      </c>
      <c r="Q870" s="16" t="s">
        <v>2751</v>
      </c>
      <c r="R870" s="17" t="s">
        <v>4703</v>
      </c>
      <c r="S870" s="12"/>
      <c r="T870" s="12"/>
      <c r="U870" s="10" t="str">
        <f>HYPERLINK("https://pbs.twimg.com/profile_images/833411169792753664/K_LhCE6x.jpg","View")</f>
        <v>View</v>
      </c>
    </row>
    <row r="871" spans="1:21" ht="40.799999999999997">
      <c r="A871" s="6">
        <v>43425.968680555554</v>
      </c>
      <c r="B871" s="7" t="str">
        <f>HYPERLINK("https://twitter.com/Ruben_oss","@Ruben_oss")</f>
        <v>@Ruben_oss</v>
      </c>
      <c r="C871" s="8" t="s">
        <v>4704</v>
      </c>
      <c r="D871" s="9" t="s">
        <v>4705</v>
      </c>
      <c r="E871" s="10" t="str">
        <f>HYPERLINK("https://twitter.com/Ruben_oss/status/1065367980819779585","1065367980819779585")</f>
        <v>1065367980819779585</v>
      </c>
      <c r="F871" s="16" t="s">
        <v>2570</v>
      </c>
      <c r="G871" s="11" t="s">
        <v>2571</v>
      </c>
      <c r="H871" s="12"/>
      <c r="I871" s="13">
        <v>0</v>
      </c>
      <c r="J871" s="13">
        <v>0</v>
      </c>
      <c r="K871" s="14" t="str">
        <f>HYPERLINK("http://twitter.com/download/android","Twitter for Android")</f>
        <v>Twitter for Android</v>
      </c>
      <c r="L871" s="13">
        <v>225</v>
      </c>
      <c r="M871" s="13">
        <v>176</v>
      </c>
      <c r="N871" s="13">
        <v>0</v>
      </c>
      <c r="O871" s="15"/>
      <c r="P871" s="6">
        <v>41342.029976851853</v>
      </c>
      <c r="Q871" s="12"/>
      <c r="R871" s="17" t="s">
        <v>4709</v>
      </c>
      <c r="S871" s="12"/>
      <c r="T871" s="12"/>
      <c r="U871" s="10" t="str">
        <f>HYPERLINK("https://pbs.twimg.com/profile_images/1064665889302372352/cZjjIfZr.jpg","View")</f>
        <v>View</v>
      </c>
    </row>
    <row r="872" spans="1:21" ht="13.2">
      <c r="A872" s="6">
        <v>43425.968287037038</v>
      </c>
      <c r="B872" s="7" t="str">
        <f>HYPERLINK("https://twitter.com/tixna13","@tixna13")</f>
        <v>@tixna13</v>
      </c>
      <c r="C872" s="8" t="s">
        <v>4712</v>
      </c>
      <c r="D872" s="9" t="s">
        <v>4713</v>
      </c>
      <c r="E872" s="10" t="str">
        <f>HYPERLINK("https://twitter.com/tixna13/status/1065367838666428416","1065367838666428416")</f>
        <v>1065367838666428416</v>
      </c>
      <c r="F872" s="12"/>
      <c r="G872" s="12"/>
      <c r="H872" s="12"/>
      <c r="I872" s="13">
        <v>1</v>
      </c>
      <c r="J872" s="13">
        <v>2</v>
      </c>
      <c r="K872" s="14" t="str">
        <f>HYPERLINK("http://twitter.com/download/iphone","Twitter for iPhone")</f>
        <v>Twitter for iPhone</v>
      </c>
      <c r="L872" s="13">
        <v>374</v>
      </c>
      <c r="M872" s="13">
        <v>333</v>
      </c>
      <c r="N872" s="13">
        <v>2</v>
      </c>
      <c r="O872" s="15"/>
      <c r="P872" s="6">
        <v>42563.025752314818</v>
      </c>
      <c r="Q872" s="12"/>
      <c r="R872" s="17" t="s">
        <v>4715</v>
      </c>
      <c r="S872" s="12"/>
      <c r="T872" s="12"/>
      <c r="U872" s="10" t="str">
        <f>HYPERLINK("https://pbs.twimg.com/profile_images/1063912116430807041/T5M3HaB9.jpg","View")</f>
        <v>View</v>
      </c>
    </row>
    <row r="873" spans="1:21" ht="30.6">
      <c r="A873" s="6">
        <v>43425.968171296292</v>
      </c>
      <c r="B873" s="7" t="str">
        <f>HYPERLINK("https://twitter.com/transabolas","@transabolas")</f>
        <v>@transabolas</v>
      </c>
      <c r="C873" s="8" t="s">
        <v>4717</v>
      </c>
      <c r="D873" s="9" t="s">
        <v>4718</v>
      </c>
      <c r="E873" s="10" t="str">
        <f>HYPERLINK("https://twitter.com/transabolas/status/1065367795146391559","1065367795146391559")</f>
        <v>1065367795146391559</v>
      </c>
      <c r="F873" s="12"/>
      <c r="G873" s="12"/>
      <c r="H873" s="12"/>
      <c r="I873" s="13">
        <v>0</v>
      </c>
      <c r="J873" s="13">
        <v>2</v>
      </c>
      <c r="K873" s="14" t="str">
        <f>HYPERLINK("http://twitter.com/download/android","Twitter for Android")</f>
        <v>Twitter for Android</v>
      </c>
      <c r="L873" s="13">
        <v>56</v>
      </c>
      <c r="M873" s="13">
        <v>1</v>
      </c>
      <c r="N873" s="13">
        <v>0</v>
      </c>
      <c r="O873" s="15"/>
      <c r="P873" s="6">
        <v>43422.538344907407</v>
      </c>
      <c r="Q873" s="12"/>
      <c r="R873" s="17" t="s">
        <v>4719</v>
      </c>
      <c r="S873" s="12"/>
      <c r="T873" s="12"/>
      <c r="U873" s="10" t="str">
        <f>HYPERLINK("https://pbs.twimg.com/profile_images/1064126726312214528/OCf0iuhn.jpg","View")</f>
        <v>View</v>
      </c>
    </row>
    <row r="874" spans="1:21" ht="40.799999999999997">
      <c r="A874" s="6">
        <v>43425.967430555553</v>
      </c>
      <c r="B874" s="7" t="str">
        <f>HYPERLINK("https://twitter.com/danierdecai31","@danierdecai31")</f>
        <v>@danierdecai31</v>
      </c>
      <c r="C874" s="8" t="s">
        <v>2240</v>
      </c>
      <c r="D874" s="9" t="s">
        <v>2241</v>
      </c>
      <c r="E874" s="10" t="str">
        <f>HYPERLINK("https://twitter.com/danierdecai31/status/1065367524454424577","1065367524454424577")</f>
        <v>1065367524454424577</v>
      </c>
      <c r="F874" s="12"/>
      <c r="G874" s="12"/>
      <c r="H874" s="12"/>
      <c r="I874" s="13">
        <v>16</v>
      </c>
      <c r="J874" s="13">
        <v>52</v>
      </c>
      <c r="K874" s="14" t="str">
        <f>HYPERLINK("http://twitter.com","Twitter Web Client")</f>
        <v>Twitter Web Client</v>
      </c>
      <c r="L874" s="13">
        <v>9013</v>
      </c>
      <c r="M874" s="13">
        <v>3485</v>
      </c>
      <c r="N874" s="13">
        <v>14</v>
      </c>
      <c r="O874" s="15"/>
      <c r="P874" s="6">
        <v>43403.647685185184</v>
      </c>
      <c r="Q874" s="16" t="s">
        <v>2242</v>
      </c>
      <c r="R874" s="17" t="s">
        <v>2243</v>
      </c>
      <c r="S874" s="12"/>
      <c r="T874" s="12"/>
      <c r="U874" s="10" t="str">
        <f>HYPERLINK("https://pbs.twimg.com/profile_images/1057281830297182208/9mTqQWgW.jpg","View")</f>
        <v>View</v>
      </c>
    </row>
    <row r="875" spans="1:21" ht="61.2">
      <c r="A875" s="6">
        <v>43425.963310185187</v>
      </c>
      <c r="B875" s="7" t="str">
        <f>HYPERLINK("https://twitter.com/MichaelOnio","@MichaelOnio")</f>
        <v>@MichaelOnio</v>
      </c>
      <c r="C875" s="8" t="s">
        <v>2244</v>
      </c>
      <c r="D875" s="9" t="s">
        <v>2245</v>
      </c>
      <c r="E875" s="10" t="str">
        <f>HYPERLINK("https://twitter.com/MichaelOnio/status/1065366031340920832","1065366031340920832")</f>
        <v>1065366031340920832</v>
      </c>
      <c r="F875" s="12"/>
      <c r="G875" s="12"/>
      <c r="H875" s="12"/>
      <c r="I875" s="13">
        <v>0</v>
      </c>
      <c r="J875" s="13">
        <v>0</v>
      </c>
      <c r="K875" s="14" t="str">
        <f>HYPERLINK("http://twitter.com/download/android","Twitter for Android")</f>
        <v>Twitter for Android</v>
      </c>
      <c r="L875" s="13">
        <v>516</v>
      </c>
      <c r="M875" s="13">
        <v>109</v>
      </c>
      <c r="N875" s="13">
        <v>9</v>
      </c>
      <c r="O875" s="15"/>
      <c r="P875" s="6">
        <v>41172.831018518518</v>
      </c>
      <c r="Q875" s="16" t="s">
        <v>2247</v>
      </c>
      <c r="R875" s="17" t="s">
        <v>2248</v>
      </c>
      <c r="S875" s="12"/>
      <c r="T875" s="12"/>
      <c r="U875" s="10" t="str">
        <f>HYPERLINK("https://pbs.twimg.com/profile_images/706530583766245378/3vEcrTQt.jpg","View")</f>
        <v>View</v>
      </c>
    </row>
    <row r="876" spans="1:21" ht="61.2">
      <c r="A876" s="6">
        <v>43425.955381944441</v>
      </c>
      <c r="B876" s="7" t="str">
        <f>HYPERLINK("https://twitter.com/Lluis_Ducet","@Lluis_Ducet")</f>
        <v>@Lluis_Ducet</v>
      </c>
      <c r="C876" s="8" t="s">
        <v>1128</v>
      </c>
      <c r="D876" s="9" t="s">
        <v>2251</v>
      </c>
      <c r="E876" s="10" t="str">
        <f>HYPERLINK("https://twitter.com/Lluis_Ducet/status/1065363159651942403","1065363159651942403")</f>
        <v>1065363159651942403</v>
      </c>
      <c r="F876" s="16" t="s">
        <v>2252</v>
      </c>
      <c r="G876" s="12"/>
      <c r="H876" s="12"/>
      <c r="I876" s="13">
        <v>1</v>
      </c>
      <c r="J876" s="13">
        <v>0</v>
      </c>
      <c r="K876" s="14" t="str">
        <f>HYPERLINK("http://twitter.com","Twitter Web Client")</f>
        <v>Twitter Web Client</v>
      </c>
      <c r="L876" s="13">
        <v>1107</v>
      </c>
      <c r="M876" s="13">
        <v>1239</v>
      </c>
      <c r="N876" s="13">
        <v>34</v>
      </c>
      <c r="O876" s="15"/>
      <c r="P876" s="6">
        <v>41247.701643518521</v>
      </c>
      <c r="Q876" s="16" t="s">
        <v>1131</v>
      </c>
      <c r="R876" s="17" t="s">
        <v>1132</v>
      </c>
      <c r="S876" s="12"/>
      <c r="T876" s="12"/>
      <c r="U876" s="10" t="str">
        <f>HYPERLINK("https://pbs.twimg.com/profile_images/927277121562599424/Va2dSxQw.jpg","View")</f>
        <v>View</v>
      </c>
    </row>
    <row r="877" spans="1:21" ht="30.6">
      <c r="A877" s="6">
        <v>43425.954942129625</v>
      </c>
      <c r="B877" s="7" t="str">
        <f>HYPERLINK("https://twitter.com/PodemosPuertoR","@PodemosPuertoR")</f>
        <v>@PodemosPuertoR</v>
      </c>
      <c r="C877" s="8" t="s">
        <v>4733</v>
      </c>
      <c r="D877" s="9" t="s">
        <v>4734</v>
      </c>
      <c r="E877" s="10" t="str">
        <f>HYPERLINK("https://twitter.com/PodemosPuertoR/status/1065362999282737163","1065362999282737163")</f>
        <v>1065362999282737163</v>
      </c>
      <c r="F877" s="11" t="s">
        <v>4555</v>
      </c>
      <c r="G877" s="12"/>
      <c r="H877" s="12"/>
      <c r="I877" s="13">
        <v>1</v>
      </c>
      <c r="J877" s="13">
        <v>0</v>
      </c>
      <c r="K877" s="14" t="str">
        <f t="shared" ref="K877:K878" si="180">HYPERLINK("http://www.facebook.com/twitter","Facebook")</f>
        <v>Facebook</v>
      </c>
      <c r="L877" s="13">
        <v>3770</v>
      </c>
      <c r="M877" s="13">
        <v>426</v>
      </c>
      <c r="N877" s="13">
        <v>43</v>
      </c>
      <c r="O877" s="15"/>
      <c r="P877" s="6">
        <v>41687.620532407411</v>
      </c>
      <c r="Q877" s="16" t="s">
        <v>4739</v>
      </c>
      <c r="R877" s="17" t="s">
        <v>4740</v>
      </c>
      <c r="S877" s="11" t="s">
        <v>4741</v>
      </c>
      <c r="T877" s="12"/>
      <c r="U877" s="10" t="str">
        <f>HYPERLINK("https://pbs.twimg.com/profile_images/907643066324058113/9wteCW3r.jpg","View")</f>
        <v>View</v>
      </c>
    </row>
    <row r="878" spans="1:21" ht="20.399999999999999">
      <c r="A878" s="6">
        <v>43425.954722222217</v>
      </c>
      <c r="B878" s="7" t="str">
        <f>HYPERLINK("https://twitter.com/SusanaMorCas","@SusanaMorCas")</f>
        <v>@SusanaMorCas</v>
      </c>
      <c r="C878" s="8" t="s">
        <v>4742</v>
      </c>
      <c r="D878" s="9" t="s">
        <v>4095</v>
      </c>
      <c r="E878" s="10" t="str">
        <f>HYPERLINK("https://twitter.com/SusanaMorCas/status/1065362919607676929","1065362919607676929")</f>
        <v>1065362919607676929</v>
      </c>
      <c r="F878" s="11" t="s">
        <v>4096</v>
      </c>
      <c r="G878" s="12"/>
      <c r="H878" s="12"/>
      <c r="I878" s="13">
        <v>0</v>
      </c>
      <c r="J878" s="13">
        <v>0</v>
      </c>
      <c r="K878" s="14" t="str">
        <f t="shared" si="180"/>
        <v>Facebook</v>
      </c>
      <c r="L878" s="13">
        <v>276</v>
      </c>
      <c r="M878" s="13">
        <v>620</v>
      </c>
      <c r="N878" s="13">
        <v>29</v>
      </c>
      <c r="O878" s="15"/>
      <c r="P878" s="6">
        <v>41812.807349537034</v>
      </c>
      <c r="Q878" s="16" t="s">
        <v>4744</v>
      </c>
      <c r="R878" s="17" t="s">
        <v>4745</v>
      </c>
      <c r="S878" s="11" t="s">
        <v>4746</v>
      </c>
      <c r="T878" s="12"/>
      <c r="U878" s="10" t="str">
        <f>HYPERLINK("https://pbs.twimg.com/profile_images/998570357647785986/RP0-diNg.jpg","View")</f>
        <v>View</v>
      </c>
    </row>
    <row r="879" spans="1:21" ht="51">
      <c r="A879" s="6">
        <v>43425.949745370366</v>
      </c>
      <c r="B879" s="7" t="str">
        <f>HYPERLINK("https://twitter.com/GustavoHervas","@GustavoHervas")</f>
        <v>@GustavoHervas</v>
      </c>
      <c r="C879" s="8" t="s">
        <v>1830</v>
      </c>
      <c r="D879" s="9" t="s">
        <v>4748</v>
      </c>
      <c r="E879" s="10" t="str">
        <f>HYPERLINK("https://twitter.com/GustavoHervas/status/1065361119223660544","1065361119223660544")</f>
        <v>1065361119223660544</v>
      </c>
      <c r="F879" s="12"/>
      <c r="G879" s="12"/>
      <c r="H879" s="12"/>
      <c r="I879" s="13">
        <v>1</v>
      </c>
      <c r="J879" s="13">
        <v>0</v>
      </c>
      <c r="K879" s="14" t="str">
        <f t="shared" ref="K879:K880" si="181">HYPERLINK("https://ifttt.com","IFTTT")</f>
        <v>IFTTT</v>
      </c>
      <c r="L879" s="13">
        <v>3175</v>
      </c>
      <c r="M879" s="13">
        <v>892</v>
      </c>
      <c r="N879" s="13">
        <v>7</v>
      </c>
      <c r="O879" s="15"/>
      <c r="P879" s="6">
        <v>41333.983495370368</v>
      </c>
      <c r="Q879" s="16" t="s">
        <v>181</v>
      </c>
      <c r="R879" s="17" t="s">
        <v>1831</v>
      </c>
      <c r="S879" s="12"/>
      <c r="T879" s="12"/>
      <c r="U879" s="10" t="str">
        <f>HYPERLINK("https://pbs.twimg.com/profile_images/456084345875628035/MgW52-4R.jpeg","View")</f>
        <v>View</v>
      </c>
    </row>
    <row r="880" spans="1:21" ht="51">
      <c r="A880" s="6">
        <v>43425.949699074074</v>
      </c>
      <c r="B880" s="7" t="str">
        <f>HYPERLINK("https://twitter.com/GranadaCnSusana","@GranadaCnSusana")</f>
        <v>@GranadaCnSusana</v>
      </c>
      <c r="C880" s="8" t="s">
        <v>1823</v>
      </c>
      <c r="D880" s="9" t="s">
        <v>4748</v>
      </c>
      <c r="E880" s="10" t="str">
        <f>HYPERLINK("https://twitter.com/GranadaCnSusana/status/1065361100999458816","1065361100999458816")</f>
        <v>1065361100999458816</v>
      </c>
      <c r="F880" s="12"/>
      <c r="G880" s="12"/>
      <c r="H880" s="12"/>
      <c r="I880" s="13">
        <v>1</v>
      </c>
      <c r="J880" s="13">
        <v>0</v>
      </c>
      <c r="K880" s="14" t="str">
        <f t="shared" si="181"/>
        <v>IFTTT</v>
      </c>
      <c r="L880" s="13">
        <v>1937</v>
      </c>
      <c r="M880" s="13">
        <v>1280</v>
      </c>
      <c r="N880" s="13">
        <v>17</v>
      </c>
      <c r="O880" s="15"/>
      <c r="P880" s="6">
        <v>42038.445960648147</v>
      </c>
      <c r="Q880" s="12"/>
      <c r="R880" s="17" t="s">
        <v>1827</v>
      </c>
      <c r="S880" s="12"/>
      <c r="T880" s="12"/>
      <c r="U880" s="10" t="str">
        <f>HYPERLINK("https://pbs.twimg.com/profile_images/867062818650152961/05wVQ27K.jpg","View")</f>
        <v>View</v>
      </c>
    </row>
    <row r="881" spans="1:21" ht="40.799999999999997">
      <c r="A881" s="6">
        <v>43425.948634259257</v>
      </c>
      <c r="B881" s="7" t="str">
        <f>HYPERLINK("https://twitter.com/numeromil_M","@numeromil_M")</f>
        <v>@numeromil_M</v>
      </c>
      <c r="C881" s="8" t="s">
        <v>2253</v>
      </c>
      <c r="D881" s="9" t="s">
        <v>2254</v>
      </c>
      <c r="E881" s="10" t="str">
        <f>HYPERLINK("https://twitter.com/numeromil_M/status/1065360713206718469","1065360713206718469")</f>
        <v>1065360713206718469</v>
      </c>
      <c r="F881" s="12"/>
      <c r="G881" s="12"/>
      <c r="H881" s="12"/>
      <c r="I881" s="13">
        <v>0</v>
      </c>
      <c r="J881" s="13">
        <v>1</v>
      </c>
      <c r="K881" s="14" t="str">
        <f>HYPERLINK("http://twitter.com","Twitter Web Client")</f>
        <v>Twitter Web Client</v>
      </c>
      <c r="L881" s="13">
        <v>460</v>
      </c>
      <c r="M881" s="13">
        <v>643</v>
      </c>
      <c r="N881" s="13">
        <v>5</v>
      </c>
      <c r="O881" s="15"/>
      <c r="P881" s="6">
        <v>40681.979942129634</v>
      </c>
      <c r="Q881" s="12"/>
      <c r="R881" s="17" t="s">
        <v>2255</v>
      </c>
      <c r="S881" s="12"/>
      <c r="T881" s="12"/>
      <c r="U881" s="10" t="str">
        <f>HYPERLINK("https://pbs.twimg.com/profile_images/816336816391520256/C7p6BkCb.jpg","View")</f>
        <v>View</v>
      </c>
    </row>
    <row r="882" spans="1:21" ht="20.399999999999999">
      <c r="A882" s="6">
        <v>43425.946828703702</v>
      </c>
      <c r="B882" s="7" t="str">
        <f>HYPERLINK("https://twitter.com/HEAVENDIED","@HEAVENDIED")</f>
        <v>@HEAVENDIED</v>
      </c>
      <c r="C882" s="8" t="s">
        <v>1723</v>
      </c>
      <c r="D882" s="9" t="s">
        <v>4755</v>
      </c>
      <c r="E882" s="10" t="str">
        <f>HYPERLINK("https://twitter.com/HEAVENDIED/status/1065360060971450369","1065360060971450369")</f>
        <v>1065360060971450369</v>
      </c>
      <c r="F882" s="12"/>
      <c r="G882" s="12"/>
      <c r="H882" s="12"/>
      <c r="I882" s="13">
        <v>0</v>
      </c>
      <c r="J882" s="13">
        <v>1</v>
      </c>
      <c r="K882" s="14" t="str">
        <f>HYPERLINK("http://twitter.com/download/iphone","Twitter for iPhone")</f>
        <v>Twitter for iPhone</v>
      </c>
      <c r="L882" s="13">
        <v>197</v>
      </c>
      <c r="M882" s="13">
        <v>355</v>
      </c>
      <c r="N882" s="13">
        <v>5</v>
      </c>
      <c r="O882" s="15"/>
      <c r="P882" s="6">
        <v>43000.662442129629</v>
      </c>
      <c r="Q882" s="16" t="s">
        <v>1728</v>
      </c>
      <c r="R882" s="17" t="s">
        <v>1729</v>
      </c>
      <c r="S882" s="12"/>
      <c r="T882" s="12"/>
      <c r="U882" s="10" t="str">
        <f>HYPERLINK("https://pbs.twimg.com/profile_images/911229737074339840/7WrDsYfJ.jpg","View")</f>
        <v>View</v>
      </c>
    </row>
    <row r="883" spans="1:21" ht="61.2">
      <c r="A883" s="6">
        <v>43425.945833333331</v>
      </c>
      <c r="B883" s="7" t="str">
        <f>HYPERLINK("https://twitter.com/joanmiquelm4","@joanmiquelm4")</f>
        <v>@joanmiquelm4</v>
      </c>
      <c r="C883" s="8" t="s">
        <v>1370</v>
      </c>
      <c r="D883" s="9" t="s">
        <v>2256</v>
      </c>
      <c r="E883" s="10" t="str">
        <f>HYPERLINK("https://twitter.com/joanmiquelm4/status/1065359700957503488","1065359700957503488")</f>
        <v>1065359700957503488</v>
      </c>
      <c r="F883" s="11" t="s">
        <v>2215</v>
      </c>
      <c r="G883" s="11" t="s">
        <v>401</v>
      </c>
      <c r="H883" s="12"/>
      <c r="I883" s="13">
        <v>0</v>
      </c>
      <c r="J883" s="13">
        <v>0</v>
      </c>
      <c r="K883" s="14" t="str">
        <f>HYPERLINK("http://twitter.com/download/android","Twitter for Android")</f>
        <v>Twitter for Android</v>
      </c>
      <c r="L883" s="13">
        <v>186</v>
      </c>
      <c r="M883" s="13">
        <v>250</v>
      </c>
      <c r="N883" s="13">
        <v>22</v>
      </c>
      <c r="O883" s="15"/>
      <c r="P883" s="6">
        <v>41963.710092592592</v>
      </c>
      <c r="Q883" s="12"/>
      <c r="R883" s="17" t="s">
        <v>1373</v>
      </c>
      <c r="S883" s="12"/>
      <c r="T883" s="12"/>
      <c r="U883" s="10" t="str">
        <f>HYPERLINK("https://pbs.twimg.com/profile_images/535464079948017666/sd81e-bA.jpeg","View")</f>
        <v>View</v>
      </c>
    </row>
    <row r="884" spans="1:21" ht="20.399999999999999">
      <c r="A884" s="6">
        <v>43425.945555555554</v>
      </c>
      <c r="B884" s="7" t="str">
        <f>HYPERLINK("https://twitter.com/Raymynk","@Raymynk")</f>
        <v>@Raymynk</v>
      </c>
      <c r="C884" s="8" t="s">
        <v>4763</v>
      </c>
      <c r="D884" s="9" t="s">
        <v>556</v>
      </c>
      <c r="E884" s="10" t="str">
        <f>HYPERLINK("https://twitter.com/Raymynk/status/1065359597001719808","1065359597001719808")</f>
        <v>1065359597001719808</v>
      </c>
      <c r="F884" s="11" t="s">
        <v>557</v>
      </c>
      <c r="G884" s="12"/>
      <c r="H884" s="12"/>
      <c r="I884" s="13">
        <v>0</v>
      </c>
      <c r="J884" s="13">
        <v>0</v>
      </c>
      <c r="K884" s="14" t="str">
        <f>HYPERLINK("http://twitter.com","Twitter Web Client")</f>
        <v>Twitter Web Client</v>
      </c>
      <c r="L884" s="13">
        <v>198</v>
      </c>
      <c r="M884" s="13">
        <v>678</v>
      </c>
      <c r="N884" s="13">
        <v>6</v>
      </c>
      <c r="O884" s="15"/>
      <c r="P884" s="6">
        <v>40108.546435185184</v>
      </c>
      <c r="Q884" s="16" t="s">
        <v>4765</v>
      </c>
      <c r="R884" s="19"/>
      <c r="S884" s="11" t="s">
        <v>4766</v>
      </c>
      <c r="T884" s="12"/>
      <c r="U884" s="10" t="str">
        <f>HYPERLINK("https://pbs.twimg.com/profile_images/484297550/ray.jpg","View")</f>
        <v>View</v>
      </c>
    </row>
    <row r="885" spans="1:21" ht="30.6">
      <c r="A885" s="6">
        <v>43425.945138888885</v>
      </c>
      <c r="B885" s="7" t="str">
        <f>HYPERLINK("https://twitter.com/tfuentelsaz","@tfuentelsaz")</f>
        <v>@tfuentelsaz</v>
      </c>
      <c r="C885" s="8" t="s">
        <v>2258</v>
      </c>
      <c r="D885" s="9" t="s">
        <v>2259</v>
      </c>
      <c r="E885" s="10" t="str">
        <f>HYPERLINK("https://twitter.com/tfuentelsaz/status/1065359447323811841","1065359447323811841")</f>
        <v>1065359447323811841</v>
      </c>
      <c r="F885" s="16" t="s">
        <v>2261</v>
      </c>
      <c r="G885" s="12"/>
      <c r="H885" s="12"/>
      <c r="I885" s="13">
        <v>0</v>
      </c>
      <c r="J885" s="13">
        <v>0</v>
      </c>
      <c r="K885" s="14" t="str">
        <f>HYPERLINK("http://twitter.com/#!/download/ipad","Twitter for iPad")</f>
        <v>Twitter for iPad</v>
      </c>
      <c r="L885" s="13">
        <v>865</v>
      </c>
      <c r="M885" s="13">
        <v>604</v>
      </c>
      <c r="N885" s="13">
        <v>23</v>
      </c>
      <c r="O885" s="15"/>
      <c r="P885" s="6">
        <v>40835.936400462961</v>
      </c>
      <c r="Q885" s="16" t="s">
        <v>75</v>
      </c>
      <c r="R885" s="17" t="s">
        <v>2262</v>
      </c>
      <c r="S885" s="12"/>
      <c r="T885" s="12"/>
      <c r="U885" s="10" t="str">
        <f>HYPERLINK("https://pbs.twimg.com/profile_images/378800000685373588/50a09f36d2bad79512955041f4bfb7e8.jpeg","View")</f>
        <v>View</v>
      </c>
    </row>
    <row r="886" spans="1:21" ht="40.799999999999997">
      <c r="A886" s="6">
        <v>43425.945</v>
      </c>
      <c r="B886" s="7" t="str">
        <f>HYPERLINK("https://twitter.com/MarcoyMedio","@MarcoyMedio")</f>
        <v>@MarcoyMedio</v>
      </c>
      <c r="C886" s="8" t="s">
        <v>802</v>
      </c>
      <c r="D886" s="9" t="s">
        <v>2263</v>
      </c>
      <c r="E886" s="10" t="str">
        <f>HYPERLINK("https://twitter.com/MarcoyMedio/status/1065359399152218116","1065359399152218116")</f>
        <v>1065359399152218116</v>
      </c>
      <c r="F886" s="12"/>
      <c r="G886" s="12"/>
      <c r="H886" s="12"/>
      <c r="I886" s="13">
        <v>0</v>
      </c>
      <c r="J886" s="13">
        <v>0</v>
      </c>
      <c r="K886" s="14" t="str">
        <f>HYPERLINK("http://twitter.com/download/android","Twitter for Android")</f>
        <v>Twitter for Android</v>
      </c>
      <c r="L886" s="13">
        <v>44</v>
      </c>
      <c r="M886" s="13">
        <v>240</v>
      </c>
      <c r="N886" s="13">
        <v>0</v>
      </c>
      <c r="O886" s="15"/>
      <c r="P886" s="6">
        <v>43362.593969907408</v>
      </c>
      <c r="Q886" s="12"/>
      <c r="R886" s="17" t="s">
        <v>804</v>
      </c>
      <c r="S886" s="12"/>
      <c r="T886" s="12"/>
      <c r="U886" s="10" t="str">
        <f>HYPERLINK("https://pbs.twimg.com/profile_images/1063219918882185216/na2-twIY.jpg","View")</f>
        <v>View</v>
      </c>
    </row>
    <row r="887" spans="1:21" ht="20.399999999999999">
      <c r="A887" s="6">
        <v>43425.944432870368</v>
      </c>
      <c r="B887" s="7" t="str">
        <f>HYPERLINK("https://twitter.com/Raymynk","@Raymynk")</f>
        <v>@Raymynk</v>
      </c>
      <c r="C887" s="8" t="s">
        <v>4763</v>
      </c>
      <c r="D887" s="9" t="s">
        <v>4528</v>
      </c>
      <c r="E887" s="10" t="str">
        <f>HYPERLINK("https://twitter.com/Raymynk/status/1065359191102103554","1065359191102103554")</f>
        <v>1065359191102103554</v>
      </c>
      <c r="F887" s="11" t="s">
        <v>1228</v>
      </c>
      <c r="G887" s="12"/>
      <c r="H887" s="12"/>
      <c r="I887" s="13">
        <v>0</v>
      </c>
      <c r="J887" s="13">
        <v>0</v>
      </c>
      <c r="K887" s="14" t="str">
        <f>HYPERLINK("http://twitter.com","Twitter Web Client")</f>
        <v>Twitter Web Client</v>
      </c>
      <c r="L887" s="13">
        <v>198</v>
      </c>
      <c r="M887" s="13">
        <v>678</v>
      </c>
      <c r="N887" s="13">
        <v>6</v>
      </c>
      <c r="O887" s="15"/>
      <c r="P887" s="6">
        <v>40108.546435185184</v>
      </c>
      <c r="Q887" s="16" t="s">
        <v>4765</v>
      </c>
      <c r="R887" s="19"/>
      <c r="S887" s="11" t="s">
        <v>4766</v>
      </c>
      <c r="T887" s="12"/>
      <c r="U887" s="10" t="str">
        <f>HYPERLINK("https://pbs.twimg.com/profile_images/484297550/ray.jpg","View")</f>
        <v>View</v>
      </c>
    </row>
    <row r="888" spans="1:21" ht="30.6">
      <c r="A888" s="6">
        <v>43425.944293981476</v>
      </c>
      <c r="B888" s="7" t="str">
        <f>HYPERLINK("https://twitter.com/Cs_Parres","@Cs_Parres")</f>
        <v>@Cs_Parres</v>
      </c>
      <c r="C888" s="8" t="s">
        <v>2264</v>
      </c>
      <c r="D888" s="9" t="s">
        <v>2265</v>
      </c>
      <c r="E888" s="10" t="str">
        <f>HYPERLINK("https://twitter.com/Cs_Parres/status/1065359141768708097","1065359141768708097")</f>
        <v>1065359141768708097</v>
      </c>
      <c r="F888" s="12"/>
      <c r="G888" s="11" t="s">
        <v>2267</v>
      </c>
      <c r="H888" s="12"/>
      <c r="I888" s="13">
        <v>0</v>
      </c>
      <c r="J888" s="13">
        <v>2</v>
      </c>
      <c r="K888" s="14" t="str">
        <f>HYPERLINK("http://twitter.com/download/iphone","Twitter for iPhone")</f>
        <v>Twitter for iPhone</v>
      </c>
      <c r="L888" s="13">
        <v>106</v>
      </c>
      <c r="M888" s="13">
        <v>150</v>
      </c>
      <c r="N888" s="13">
        <v>0</v>
      </c>
      <c r="O888" s="15"/>
      <c r="P888" s="6">
        <v>43179.869722222225</v>
      </c>
      <c r="Q888" s="12"/>
      <c r="R888" s="19"/>
      <c r="S888" s="12"/>
      <c r="T888" s="12"/>
      <c r="U888" s="10" t="str">
        <f>HYPERLINK("https://pbs.twimg.com/profile_images/985073622170656769/UsWcVkWk.jpg","View")</f>
        <v>View</v>
      </c>
    </row>
    <row r="889" spans="1:21" ht="51">
      <c r="A889" s="6">
        <v>43425.943101851852</v>
      </c>
      <c r="B889" s="7" t="str">
        <f>HYPERLINK("https://twitter.com/LupeCG82","@LupeCG82")</f>
        <v>@LupeCG82</v>
      </c>
      <c r="C889" s="8" t="s">
        <v>2269</v>
      </c>
      <c r="D889" s="9" t="s">
        <v>2270</v>
      </c>
      <c r="E889" s="10" t="str">
        <f>HYPERLINK("https://twitter.com/LupeCG82/status/1065358708929105920","1065358708929105920")</f>
        <v>1065358708929105920</v>
      </c>
      <c r="F889" s="12"/>
      <c r="G889" s="12"/>
      <c r="H889" s="12"/>
      <c r="I889" s="13">
        <v>4</v>
      </c>
      <c r="J889" s="13">
        <v>2</v>
      </c>
      <c r="K889" s="14" t="str">
        <f t="shared" ref="K889:K890" si="182">HYPERLINK("http://twitter.com/download/android","Twitter for Android")</f>
        <v>Twitter for Android</v>
      </c>
      <c r="L889" s="13">
        <v>1146</v>
      </c>
      <c r="M889" s="13">
        <v>1393</v>
      </c>
      <c r="N889" s="13">
        <v>36</v>
      </c>
      <c r="O889" s="15"/>
      <c r="P889" s="6">
        <v>40590.860856481479</v>
      </c>
      <c r="Q889" s="16" t="s">
        <v>1541</v>
      </c>
      <c r="R889" s="17" t="s">
        <v>2271</v>
      </c>
      <c r="S889" s="11" t="s">
        <v>2272</v>
      </c>
      <c r="T889" s="12"/>
      <c r="U889" s="10" t="str">
        <f>HYPERLINK("https://pbs.twimg.com/profile_images/893356220387602432/Tj6l7qUj.jpg","View")</f>
        <v>View</v>
      </c>
    </row>
    <row r="890" spans="1:21" ht="30.6">
      <c r="A890" s="6">
        <v>43425.942928240736</v>
      </c>
      <c r="B890" s="7" t="str">
        <f>HYPERLINK("https://twitter.com/Falditox","@Falditox")</f>
        <v>@Falditox</v>
      </c>
      <c r="C890" s="8" t="s">
        <v>4779</v>
      </c>
      <c r="D890" s="9" t="s">
        <v>4780</v>
      </c>
      <c r="E890" s="10" t="str">
        <f>HYPERLINK("https://twitter.com/Falditox/status/1065358645356126210","1065358645356126210")</f>
        <v>1065358645356126210</v>
      </c>
      <c r="F890" s="12"/>
      <c r="G890" s="12"/>
      <c r="H890" s="12"/>
      <c r="I890" s="13">
        <v>0</v>
      </c>
      <c r="J890" s="13">
        <v>0</v>
      </c>
      <c r="K890" s="14" t="str">
        <f t="shared" si="182"/>
        <v>Twitter for Android</v>
      </c>
      <c r="L890" s="13">
        <v>632</v>
      </c>
      <c r="M890" s="13">
        <v>803</v>
      </c>
      <c r="N890" s="13">
        <v>21</v>
      </c>
      <c r="O890" s="15"/>
      <c r="P890" s="6">
        <v>41725.579085648147</v>
      </c>
      <c r="Q890" s="16" t="s">
        <v>662</v>
      </c>
      <c r="R890" s="17" t="s">
        <v>4781</v>
      </c>
      <c r="S890" s="12"/>
      <c r="T890" s="12"/>
      <c r="U890" s="10" t="str">
        <f>HYPERLINK("https://pbs.twimg.com/profile_images/974593911497863168/tk2JE66q.jpg","View")</f>
        <v>View</v>
      </c>
    </row>
    <row r="891" spans="1:21" ht="40.799999999999997">
      <c r="A891" s="6">
        <v>43425.942905092597</v>
      </c>
      <c r="B891" s="7" t="str">
        <f>HYPERLINK("https://twitter.com/joanmena","@joanmena")</f>
        <v>@joanmena</v>
      </c>
      <c r="C891" s="8" t="s">
        <v>2273</v>
      </c>
      <c r="D891" s="9" t="s">
        <v>2274</v>
      </c>
      <c r="E891" s="10" t="str">
        <f>HYPERLINK("https://twitter.com/joanmena/status/1065358638712320006","1065358638712320006")</f>
        <v>1065358638712320006</v>
      </c>
      <c r="F891" s="12"/>
      <c r="G891" s="11" t="s">
        <v>2275</v>
      </c>
      <c r="H891" s="12"/>
      <c r="I891" s="13">
        <v>92</v>
      </c>
      <c r="J891" s="13">
        <v>170</v>
      </c>
      <c r="K891" s="14" t="str">
        <f>HYPERLINK("http://twitter.com/download/iphone","Twitter for iPhone")</f>
        <v>Twitter for iPhone</v>
      </c>
      <c r="L891" s="13">
        <v>24915</v>
      </c>
      <c r="M891" s="13">
        <v>2598</v>
      </c>
      <c r="N891" s="13">
        <v>309</v>
      </c>
      <c r="O891" s="18" t="s">
        <v>36</v>
      </c>
      <c r="P891" s="6">
        <v>40025.80872685185</v>
      </c>
      <c r="Q891" s="16" t="s">
        <v>2276</v>
      </c>
      <c r="R891" s="17" t="s">
        <v>2277</v>
      </c>
      <c r="S891" s="11" t="s">
        <v>2278</v>
      </c>
      <c r="T891" s="12"/>
      <c r="U891" s="10" t="str">
        <f>HYPERLINK("https://pbs.twimg.com/profile_images/1022490088318615553/OkOc2t0s.jpg","View")</f>
        <v>View</v>
      </c>
    </row>
    <row r="892" spans="1:21" ht="61.2">
      <c r="A892" s="6">
        <v>43425.942777777775</v>
      </c>
      <c r="B892" s="7" t="str">
        <f>HYPERLINK("https://twitter.com/jvarelavaz","@jvarelavaz")</f>
        <v>@jvarelavaz</v>
      </c>
      <c r="C892" s="8" t="s">
        <v>4786</v>
      </c>
      <c r="D892" s="9" t="s">
        <v>4787</v>
      </c>
      <c r="E892" s="10" t="str">
        <f>HYPERLINK("https://twitter.com/jvarelavaz/status/1065358593837420545","1065358593837420545")</f>
        <v>1065358593837420545</v>
      </c>
      <c r="F892" s="16" t="s">
        <v>4789</v>
      </c>
      <c r="G892" s="12"/>
      <c r="H892" s="12"/>
      <c r="I892" s="13">
        <v>1</v>
      </c>
      <c r="J892" s="13">
        <v>1</v>
      </c>
      <c r="K892" s="14" t="str">
        <f t="shared" ref="K892:K894" si="183">HYPERLINK("http://twitter.com/download/android","Twitter for Android")</f>
        <v>Twitter for Android</v>
      </c>
      <c r="L892" s="13">
        <v>1763</v>
      </c>
      <c r="M892" s="13">
        <v>1557</v>
      </c>
      <c r="N892" s="13">
        <v>2</v>
      </c>
      <c r="O892" s="15"/>
      <c r="P892" s="6">
        <v>42174.889050925922</v>
      </c>
      <c r="Q892" s="12"/>
      <c r="R892" s="17" t="s">
        <v>4790</v>
      </c>
      <c r="S892" s="12"/>
      <c r="T892" s="12"/>
      <c r="U892" s="10" t="str">
        <f>HYPERLINK("https://pbs.twimg.com/profile_images/922218889626480640/wHIIiylA.jpg","View")</f>
        <v>View</v>
      </c>
    </row>
    <row r="893" spans="1:21" ht="40.799999999999997">
      <c r="A893" s="6">
        <v>43425.942106481481</v>
      </c>
      <c r="B893" s="7" t="str">
        <f>HYPERLINK("https://twitter.com/caval100","@caval100")</f>
        <v>@caval100</v>
      </c>
      <c r="C893" s="8" t="s">
        <v>4791</v>
      </c>
      <c r="D893" s="9" t="s">
        <v>4792</v>
      </c>
      <c r="E893" s="10" t="str">
        <f>HYPERLINK("https://twitter.com/caval100/status/1065358349116485632","1065358349116485632")</f>
        <v>1065358349116485632</v>
      </c>
      <c r="F893" s="11" t="s">
        <v>1228</v>
      </c>
      <c r="G893" s="12"/>
      <c r="H893" s="12"/>
      <c r="I893" s="13">
        <v>12</v>
      </c>
      <c r="J893" s="13">
        <v>8</v>
      </c>
      <c r="K893" s="14" t="str">
        <f t="shared" si="183"/>
        <v>Twitter for Android</v>
      </c>
      <c r="L893" s="13">
        <v>119224</v>
      </c>
      <c r="M893" s="13">
        <v>94076</v>
      </c>
      <c r="N893" s="13">
        <v>981</v>
      </c>
      <c r="O893" s="15"/>
      <c r="P893" s="6">
        <v>40079.437094907407</v>
      </c>
      <c r="Q893" s="16" t="s">
        <v>3551</v>
      </c>
      <c r="R893" s="17" t="s">
        <v>4794</v>
      </c>
      <c r="S893" s="11" t="s">
        <v>4795</v>
      </c>
      <c r="T893" s="12"/>
      <c r="U893" s="10" t="str">
        <f>HYPERLINK("https://pbs.twimg.com/profile_images/965350678301429760/uvGI7g8U.jpg","View")</f>
        <v>View</v>
      </c>
    </row>
    <row r="894" spans="1:21" ht="61.2">
      <c r="A894" s="6">
        <v>43425.941828703704</v>
      </c>
      <c r="B894" s="7" t="str">
        <f>HYPERLINK("https://twitter.com/CatalanaCor","@CatalanaCor")</f>
        <v>@CatalanaCor</v>
      </c>
      <c r="C894" s="8" t="s">
        <v>4797</v>
      </c>
      <c r="D894" s="9" t="s">
        <v>4798</v>
      </c>
      <c r="E894" s="10" t="str">
        <f>HYPERLINK("https://twitter.com/CatalanaCor/status/1065358250277773313","1065358250277773313")</f>
        <v>1065358250277773313</v>
      </c>
      <c r="F894" s="11" t="s">
        <v>4799</v>
      </c>
      <c r="G894" s="11" t="s">
        <v>4800</v>
      </c>
      <c r="H894" s="12"/>
      <c r="I894" s="13">
        <v>2</v>
      </c>
      <c r="J894" s="13">
        <v>3</v>
      </c>
      <c r="K894" s="14" t="str">
        <f t="shared" si="183"/>
        <v>Twitter for Android</v>
      </c>
      <c r="L894" s="13">
        <v>663</v>
      </c>
      <c r="M894" s="13">
        <v>80</v>
      </c>
      <c r="N894" s="13">
        <v>2</v>
      </c>
      <c r="O894" s="15"/>
      <c r="P894" s="6">
        <v>43112.620775462958</v>
      </c>
      <c r="Q894" s="12"/>
      <c r="R894" s="17" t="s">
        <v>4802</v>
      </c>
      <c r="S894" s="12"/>
      <c r="T894" s="12"/>
      <c r="U894" s="10" t="str">
        <f>HYPERLINK("https://pbs.twimg.com/profile_images/951829954156728320/KtMnne9g.jpg","View")</f>
        <v>View</v>
      </c>
    </row>
    <row r="895" spans="1:21" ht="40.799999999999997">
      <c r="A895" s="6">
        <v>43425.94131944445</v>
      </c>
      <c r="B895" s="7" t="str">
        <f>HYPERLINK("https://twitter.com/ahbimbela","@ahbimbela")</f>
        <v>@ahbimbela</v>
      </c>
      <c r="C895" s="8" t="s">
        <v>795</v>
      </c>
      <c r="D895" s="9" t="s">
        <v>2279</v>
      </c>
      <c r="E895" s="10" t="str">
        <f>HYPERLINK("https://twitter.com/ahbimbela/status/1065358064252084225","1065358064252084225")</f>
        <v>1065358064252084225</v>
      </c>
      <c r="F895" s="12"/>
      <c r="G895" s="12"/>
      <c r="H895" s="12"/>
      <c r="I895" s="13">
        <v>4</v>
      </c>
      <c r="J895" s="13">
        <v>4</v>
      </c>
      <c r="K895" s="14" t="str">
        <f t="shared" ref="K895:K896" si="184">HYPERLINK("http://twitter.com/download/iphone","Twitter for iPhone")</f>
        <v>Twitter for iPhone</v>
      </c>
      <c r="L895" s="13">
        <v>770</v>
      </c>
      <c r="M895" s="13">
        <v>949</v>
      </c>
      <c r="N895" s="13">
        <v>32</v>
      </c>
      <c r="O895" s="15"/>
      <c r="P895" s="6">
        <v>41226.036504629628</v>
      </c>
      <c r="Q895" s="12"/>
      <c r="R895" s="17" t="s">
        <v>2282</v>
      </c>
      <c r="S895" s="12"/>
      <c r="T895" s="12"/>
      <c r="U895" s="10" t="str">
        <f>HYPERLINK("https://pbs.twimg.com/profile_images/1027312367883956225/zIwCZads.jpg","View")</f>
        <v>View</v>
      </c>
    </row>
    <row r="896" spans="1:21" ht="30.6">
      <c r="A896" s="6">
        <v>43425.940358796295</v>
      </c>
      <c r="B896" s="7" t="str">
        <f>HYPERLINK("https://twitter.com/Adrift_Barrow","@Adrift_Barrow")</f>
        <v>@Adrift_Barrow</v>
      </c>
      <c r="C896" s="8" t="s">
        <v>2285</v>
      </c>
      <c r="D896" s="9" t="s">
        <v>2286</v>
      </c>
      <c r="E896" s="10" t="str">
        <f>HYPERLINK("https://twitter.com/Adrift_Barrow/status/1065357717789966343","1065357717789966343")</f>
        <v>1065357717789966343</v>
      </c>
      <c r="F896" s="12"/>
      <c r="G896" s="12"/>
      <c r="H896" s="12"/>
      <c r="I896" s="13">
        <v>0</v>
      </c>
      <c r="J896" s="13">
        <v>0</v>
      </c>
      <c r="K896" s="14" t="str">
        <f t="shared" si="184"/>
        <v>Twitter for iPhone</v>
      </c>
      <c r="L896" s="13">
        <v>40</v>
      </c>
      <c r="M896" s="13">
        <v>253</v>
      </c>
      <c r="N896" s="13">
        <v>0</v>
      </c>
      <c r="O896" s="15"/>
      <c r="P896" s="6">
        <v>42914.525821759264</v>
      </c>
      <c r="Q896" s="12"/>
      <c r="R896" s="17" t="s">
        <v>2288</v>
      </c>
      <c r="S896" s="12"/>
      <c r="T896" s="12"/>
      <c r="U896" s="10" t="str">
        <f>HYPERLINK("https://pbs.twimg.com/profile_images/983574247594430464/XC0k_eNp.jpg","View")</f>
        <v>View</v>
      </c>
    </row>
    <row r="897" spans="1:21" ht="30.6">
      <c r="A897" s="6">
        <v>43425.939629629633</v>
      </c>
      <c r="B897" s="7" t="str">
        <f>HYPERLINK("https://twitter.com/BrujulaOndaCero","@BrujulaOndaCero")</f>
        <v>@BrujulaOndaCero</v>
      </c>
      <c r="C897" s="8" t="s">
        <v>2218</v>
      </c>
      <c r="D897" s="9" t="s">
        <v>2291</v>
      </c>
      <c r="E897" s="10" t="str">
        <f>HYPERLINK("https://twitter.com/BrujulaOndaCero/status/1065357451158061059","1065357451158061059")</f>
        <v>1065357451158061059</v>
      </c>
      <c r="F897" s="11" t="s">
        <v>2292</v>
      </c>
      <c r="G897" s="11" t="s">
        <v>2293</v>
      </c>
      <c r="H897" s="12"/>
      <c r="I897" s="13">
        <v>3</v>
      </c>
      <c r="J897" s="13">
        <v>2</v>
      </c>
      <c r="K897" s="14" t="str">
        <f>HYPERLINK("http://twitter.com","Twitter Web Client")</f>
        <v>Twitter Web Client</v>
      </c>
      <c r="L897" s="13">
        <v>87767</v>
      </c>
      <c r="M897" s="13">
        <v>1162</v>
      </c>
      <c r="N897" s="13">
        <v>1457</v>
      </c>
      <c r="O897" s="18" t="s">
        <v>36</v>
      </c>
      <c r="P897" s="6">
        <v>40557.455752314811</v>
      </c>
      <c r="Q897" s="12"/>
      <c r="R897" s="17" t="s">
        <v>2221</v>
      </c>
      <c r="S897" s="11" t="s">
        <v>2222</v>
      </c>
      <c r="T897" s="12"/>
      <c r="U897" s="10" t="str">
        <f>HYPERLINK("https://pbs.twimg.com/profile_images/1217122255/perfil-tweet.jpg","View")</f>
        <v>View</v>
      </c>
    </row>
    <row r="898" spans="1:21" ht="13.2">
      <c r="A898" s="6">
        <v>43425.939537037033</v>
      </c>
      <c r="B898" s="7" t="str">
        <f>HYPERLINK("https://twitter.com/Garbell_","@Garbell_")</f>
        <v>@Garbell_</v>
      </c>
      <c r="C898" s="8" t="s">
        <v>4815</v>
      </c>
      <c r="D898" s="9" t="s">
        <v>4816</v>
      </c>
      <c r="E898" s="10" t="str">
        <f>HYPERLINK("https://twitter.com/Garbell_/status/1065357419084242945","1065357419084242945")</f>
        <v>1065357419084242945</v>
      </c>
      <c r="F898" s="12"/>
      <c r="G898" s="12"/>
      <c r="H898" s="12"/>
      <c r="I898" s="13">
        <v>0</v>
      </c>
      <c r="J898" s="13">
        <v>2</v>
      </c>
      <c r="K898" s="14" t="str">
        <f>HYPERLINK("http://twitter.com/download/iphone","Twitter for iPhone")</f>
        <v>Twitter for iPhone</v>
      </c>
      <c r="L898" s="13">
        <v>1281</v>
      </c>
      <c r="M898" s="13">
        <v>398</v>
      </c>
      <c r="N898" s="13">
        <v>32</v>
      </c>
      <c r="O898" s="15"/>
      <c r="P898" s="6">
        <v>40746.880127314813</v>
      </c>
      <c r="Q898" s="16" t="s">
        <v>4819</v>
      </c>
      <c r="R898" s="17" t="s">
        <v>4820</v>
      </c>
      <c r="S898" s="12"/>
      <c r="T898" s="12"/>
      <c r="U898" s="10" t="str">
        <f>HYPERLINK("https://pbs.twimg.com/profile_images/978359520362627073/-Gl882Pm.jpg","View")</f>
        <v>View</v>
      </c>
    </row>
    <row r="899" spans="1:21" ht="20.399999999999999">
      <c r="A899" s="6">
        <v>43425.936111111107</v>
      </c>
      <c r="B899" s="7" t="str">
        <f>HYPERLINK("https://twitter.com/Tremending","@Tremending")</f>
        <v>@Tremending</v>
      </c>
      <c r="C899" s="8" t="s">
        <v>1962</v>
      </c>
      <c r="D899" s="9" t="s">
        <v>1963</v>
      </c>
      <c r="E899" s="10" t="str">
        <f>HYPERLINK("https://twitter.com/Tremending/status/1065356175900884998","1065356175900884998")</f>
        <v>1065356175900884998</v>
      </c>
      <c r="F899" s="11" t="s">
        <v>495</v>
      </c>
      <c r="G899" s="11" t="s">
        <v>4823</v>
      </c>
      <c r="H899" s="12"/>
      <c r="I899" s="13">
        <v>26</v>
      </c>
      <c r="J899" s="13">
        <v>28</v>
      </c>
      <c r="K899" s="14" t="str">
        <f>HYPERLINK("https://about.twitter.com/products/tweetdeck","TweetDeck")</f>
        <v>TweetDeck</v>
      </c>
      <c r="L899" s="13">
        <v>54663</v>
      </c>
      <c r="M899" s="13">
        <v>4</v>
      </c>
      <c r="N899" s="13">
        <v>522</v>
      </c>
      <c r="O899" s="18" t="s">
        <v>36</v>
      </c>
      <c r="P899" s="6">
        <v>41765.962523148148</v>
      </c>
      <c r="Q899" s="16" t="s">
        <v>1967</v>
      </c>
      <c r="R899" s="17" t="s">
        <v>1968</v>
      </c>
      <c r="S899" s="11" t="s">
        <v>1969</v>
      </c>
      <c r="T899" s="12"/>
      <c r="U899" s="10" t="str">
        <f>HYPERLINK("https://pbs.twimg.com/profile_images/801030804914704384/GSMNihQ_.jpg","View")</f>
        <v>View</v>
      </c>
    </row>
    <row r="900" spans="1:21" ht="40.799999999999997">
      <c r="A900" s="6">
        <v>43425.935231481482</v>
      </c>
      <c r="B900" s="7" t="str">
        <f>HYPERLINK("https://twitter.com/AdeSiracusa","@AdeSiracusa")</f>
        <v>@AdeSiracusa</v>
      </c>
      <c r="C900" s="8" t="s">
        <v>3946</v>
      </c>
      <c r="D900" s="9" t="s">
        <v>4830</v>
      </c>
      <c r="E900" s="10" t="str">
        <f>HYPERLINK("https://twitter.com/AdeSiracusa/status/1065355859620974593","1065355859620974593")</f>
        <v>1065355859620974593</v>
      </c>
      <c r="F900" s="11" t="s">
        <v>4831</v>
      </c>
      <c r="G900" s="12"/>
      <c r="H900" s="12"/>
      <c r="I900" s="13">
        <v>0</v>
      </c>
      <c r="J900" s="13">
        <v>0</v>
      </c>
      <c r="K900" s="14" t="str">
        <f>HYPERLINK("http://www.republicosvenezuela.com/","AdeSiracusa")</f>
        <v>AdeSiracusa</v>
      </c>
      <c r="L900" s="13">
        <v>3920</v>
      </c>
      <c r="M900" s="13">
        <v>3927</v>
      </c>
      <c r="N900" s="13">
        <v>12</v>
      </c>
      <c r="O900" s="15"/>
      <c r="P900" s="6">
        <v>42958.576388888891</v>
      </c>
      <c r="Q900" s="16" t="s">
        <v>978</v>
      </c>
      <c r="R900" s="17" t="s">
        <v>3950</v>
      </c>
      <c r="S900" s="12"/>
      <c r="T900" s="12"/>
      <c r="U900" s="10" t="str">
        <f>HYPERLINK("https://pbs.twimg.com/profile_images/895978354591105024/x2wNXrPl.jpg","View")</f>
        <v>View</v>
      </c>
    </row>
    <row r="901" spans="1:21" ht="40.799999999999997">
      <c r="A901" s="6">
        <v>43425.935011574074</v>
      </c>
      <c r="B901" s="7" t="str">
        <f>HYPERLINK("https://twitter.com/AdriaPa1806","@AdriaPa1806")</f>
        <v>@AdriaPa1806</v>
      </c>
      <c r="C901" s="8" t="s">
        <v>2296</v>
      </c>
      <c r="D901" s="9" t="s">
        <v>2297</v>
      </c>
      <c r="E901" s="10" t="str">
        <f>HYPERLINK("https://twitter.com/AdriaPa1806/status/1065355777874042882","1065355777874042882")</f>
        <v>1065355777874042882</v>
      </c>
      <c r="F901" s="12"/>
      <c r="G901" s="12"/>
      <c r="H901" s="12"/>
      <c r="I901" s="13">
        <v>0</v>
      </c>
      <c r="J901" s="13">
        <v>0</v>
      </c>
      <c r="K901" s="14" t="str">
        <f>HYPERLINK("http://twitter.com/download/android","Twitter for Android")</f>
        <v>Twitter for Android</v>
      </c>
      <c r="L901" s="13">
        <v>75</v>
      </c>
      <c r="M901" s="13">
        <v>136</v>
      </c>
      <c r="N901" s="13">
        <v>2</v>
      </c>
      <c r="O901" s="15"/>
      <c r="P901" s="6">
        <v>42373.723726851851</v>
      </c>
      <c r="Q901" s="12"/>
      <c r="R901" s="17" t="s">
        <v>2298</v>
      </c>
      <c r="S901" s="12"/>
      <c r="T901" s="12"/>
      <c r="U901" s="10" t="str">
        <f>HYPERLINK("https://pbs.twimg.com/profile_images/1057032924816687105/DjW6a-lz.jpg","View")</f>
        <v>View</v>
      </c>
    </row>
    <row r="902" spans="1:21" ht="102">
      <c r="A902" s="6">
        <v>43425.93450231482</v>
      </c>
      <c r="B902" s="7" t="str">
        <f>HYPERLINK("https://twitter.com/gascuenha","@gascuenha")</f>
        <v>@gascuenha</v>
      </c>
      <c r="C902" s="8" t="s">
        <v>2190</v>
      </c>
      <c r="D902" s="9" t="s">
        <v>2299</v>
      </c>
      <c r="E902" s="10" t="str">
        <f>HYPERLINK("https://twitter.com/gascuenha/status/1065355594092224512","1065355594092224512")</f>
        <v>1065355594092224512</v>
      </c>
      <c r="F902" s="16" t="s">
        <v>2300</v>
      </c>
      <c r="G902" s="12"/>
      <c r="H902" s="12"/>
      <c r="I902" s="13">
        <v>0</v>
      </c>
      <c r="J902" s="13">
        <v>1</v>
      </c>
      <c r="K902" s="14" t="str">
        <f>HYPERLINK("http://twitter.com/download/iphone","Twitter for iPhone")</f>
        <v>Twitter for iPhone</v>
      </c>
      <c r="L902" s="13">
        <v>1224</v>
      </c>
      <c r="M902" s="13">
        <v>1764</v>
      </c>
      <c r="N902" s="13">
        <v>22</v>
      </c>
      <c r="O902" s="15"/>
      <c r="P902" s="6">
        <v>40567.752233796295</v>
      </c>
      <c r="Q902" s="16" t="s">
        <v>2196</v>
      </c>
      <c r="R902" s="17" t="s">
        <v>2197</v>
      </c>
      <c r="S902" s="12"/>
      <c r="T902" s="12"/>
      <c r="U902" s="10" t="str">
        <f>HYPERLINK("https://pbs.twimg.com/profile_images/1052998090075136002/x7sQYwyG.jpg","View")</f>
        <v>View</v>
      </c>
    </row>
    <row r="903" spans="1:21" ht="51">
      <c r="A903" s="6">
        <v>43425.934108796297</v>
      </c>
      <c r="B903" s="7" t="str">
        <f>HYPERLINK("https://twitter.com/VotaCiudadanos","@VotaCiudadanos")</f>
        <v>@VotaCiudadanos</v>
      </c>
      <c r="C903" s="8" t="s">
        <v>1629</v>
      </c>
      <c r="D903" s="9" t="s">
        <v>2304</v>
      </c>
      <c r="E903" s="10" t="str">
        <f>HYPERLINK("https://twitter.com/VotaCiudadanos/status/1065355449581674496","1065355449581674496")</f>
        <v>1065355449581674496</v>
      </c>
      <c r="F903" s="11" t="s">
        <v>2306</v>
      </c>
      <c r="G903" s="12"/>
      <c r="H903" s="12"/>
      <c r="I903" s="13">
        <v>5</v>
      </c>
      <c r="J903" s="13">
        <v>6</v>
      </c>
      <c r="K903" s="14" t="str">
        <f>HYPERLINK("http://twitter.com","Twitter Web Client")</f>
        <v>Twitter Web Client</v>
      </c>
      <c r="L903" s="13">
        <v>1870</v>
      </c>
      <c r="M903" s="13">
        <v>198</v>
      </c>
      <c r="N903" s="13">
        <v>26</v>
      </c>
      <c r="O903" s="15"/>
      <c r="P903" s="6">
        <v>42318.889432870375</v>
      </c>
      <c r="Q903" s="16" t="s">
        <v>1635</v>
      </c>
      <c r="R903" s="17" t="s">
        <v>1636</v>
      </c>
      <c r="S903" s="11" t="s">
        <v>473</v>
      </c>
      <c r="T903" s="12"/>
      <c r="U903" s="10" t="str">
        <f>HYPERLINK("https://pbs.twimg.com/profile_images/948620265965215745/eZupLWK2.jpg","View")</f>
        <v>View</v>
      </c>
    </row>
    <row r="904" spans="1:21" ht="20.399999999999999">
      <c r="A904" s="6">
        <v>43425.932754629626</v>
      </c>
      <c r="B904" s="7" t="str">
        <f>HYPERLINK("https://twitter.com/yoakyny","@yoakyny")</f>
        <v>@yoakyny</v>
      </c>
      <c r="C904" s="8" t="s">
        <v>4845</v>
      </c>
      <c r="D904" s="9" t="s">
        <v>4846</v>
      </c>
      <c r="E904" s="10" t="str">
        <f>HYPERLINK("https://twitter.com/yoakyny/status/1065354962060935176","1065354962060935176")</f>
        <v>1065354962060935176</v>
      </c>
      <c r="F904" s="11" t="s">
        <v>4847</v>
      </c>
      <c r="G904" s="12"/>
      <c r="H904" s="12"/>
      <c r="I904" s="13">
        <v>0</v>
      </c>
      <c r="J904" s="13">
        <v>0</v>
      </c>
      <c r="K904" s="14" t="str">
        <f>HYPERLINK("https://ifttt.com","IFTTT")</f>
        <v>IFTTT</v>
      </c>
      <c r="L904" s="13">
        <v>104</v>
      </c>
      <c r="M904" s="13">
        <v>136</v>
      </c>
      <c r="N904" s="13">
        <v>9</v>
      </c>
      <c r="O904" s="15"/>
      <c r="P904" s="6">
        <v>41630.613391203704</v>
      </c>
      <c r="Q904" s="12"/>
      <c r="R904" s="19"/>
      <c r="S904" s="12"/>
      <c r="T904" s="12"/>
      <c r="U904" s="10" t="str">
        <f>HYPERLINK("https://pbs.twimg.com/profile_images/671801216184287233/evYjHbhu.jpg","View")</f>
        <v>View</v>
      </c>
    </row>
    <row r="905" spans="1:21" ht="30.6">
      <c r="A905" s="6">
        <v>43425.929432870369</v>
      </c>
      <c r="B905" s="7" t="str">
        <f>HYPERLINK("https://twitter.com/tintaipaper","@tintaipaper")</f>
        <v>@tintaipaper</v>
      </c>
      <c r="C905" s="8" t="s">
        <v>2308</v>
      </c>
      <c r="D905" s="9" t="s">
        <v>2309</v>
      </c>
      <c r="E905" s="10" t="str">
        <f>HYPERLINK("https://twitter.com/tintaipaper/status/1065353758492827651","1065353758492827651")</f>
        <v>1065353758492827651</v>
      </c>
      <c r="F905" s="12"/>
      <c r="G905" s="12"/>
      <c r="H905" s="12"/>
      <c r="I905" s="13">
        <v>1</v>
      </c>
      <c r="J905" s="13">
        <v>1</v>
      </c>
      <c r="K905" s="14" t="str">
        <f>HYPERLINK("http://twitter.com/download/android","Twitter for Android")</f>
        <v>Twitter for Android</v>
      </c>
      <c r="L905" s="13">
        <v>817</v>
      </c>
      <c r="M905" s="13">
        <v>1007</v>
      </c>
      <c r="N905" s="13">
        <v>0</v>
      </c>
      <c r="O905" s="15"/>
      <c r="P905" s="6">
        <v>43387.974710648152</v>
      </c>
      <c r="Q905" s="16" t="s">
        <v>204</v>
      </c>
      <c r="R905" s="17" t="s">
        <v>2312</v>
      </c>
      <c r="S905" s="12"/>
      <c r="T905" s="12"/>
      <c r="U905" s="10" t="str">
        <f>HYPERLINK("https://pbs.twimg.com/profile_images/1055508968670486529/5O9nGFH1.jpg","View")</f>
        <v>View</v>
      </c>
    </row>
    <row r="906" spans="1:21" ht="51">
      <c r="A906" s="6">
        <v>43425.928726851853</v>
      </c>
      <c r="B906" s="7" t="str">
        <f t="shared" ref="B906:B907" si="185">HYPERLINK("https://twitter.com/bitMomentum","@bitMomentum")</f>
        <v>@bitMomentum</v>
      </c>
      <c r="C906" s="8" t="s">
        <v>706</v>
      </c>
      <c r="D906" s="9" t="s">
        <v>2314</v>
      </c>
      <c r="E906" s="10" t="str">
        <f>HYPERLINK("https://twitter.com/bitMomentum/status/1065353500870262787","1065353500870262787")</f>
        <v>1065353500870262787</v>
      </c>
      <c r="F906" s="12"/>
      <c r="G906" s="11" t="s">
        <v>2315</v>
      </c>
      <c r="H906" s="12"/>
      <c r="I906" s="13">
        <v>0</v>
      </c>
      <c r="J906" s="13">
        <v>0</v>
      </c>
      <c r="K906" s="14" t="str">
        <f t="shared" ref="K906:K907" si="186">HYPERLINK("http://www.bitmomentum.com","bitMomentum Bot")</f>
        <v>bitMomentum Bot</v>
      </c>
      <c r="L906" s="13">
        <v>10132</v>
      </c>
      <c r="M906" s="13">
        <v>1060</v>
      </c>
      <c r="N906" s="13">
        <v>262</v>
      </c>
      <c r="O906" s="15"/>
      <c r="P906" s="6">
        <v>41608.667511574073</v>
      </c>
      <c r="Q906" s="12"/>
      <c r="R906" s="17" t="s">
        <v>708</v>
      </c>
      <c r="S906" s="11" t="s">
        <v>709</v>
      </c>
      <c r="T906" s="12"/>
      <c r="U906" s="10" t="str">
        <f t="shared" ref="U906:U907" si="187">HYPERLINK("https://pbs.twimg.com/profile_images/378800000862185241/20ij2H3u.png","View")</f>
        <v>View</v>
      </c>
    </row>
    <row r="907" spans="1:21" ht="40.799999999999997">
      <c r="A907" s="6">
        <v>43425.928043981483</v>
      </c>
      <c r="B907" s="7" t="str">
        <f t="shared" si="185"/>
        <v>@bitMomentum</v>
      </c>
      <c r="C907" s="8" t="s">
        <v>706</v>
      </c>
      <c r="D907" s="9" t="s">
        <v>2316</v>
      </c>
      <c r="E907" s="10" t="str">
        <f>HYPERLINK("https://twitter.com/bitMomentum/status/1065353252349329408","1065353252349329408")</f>
        <v>1065353252349329408</v>
      </c>
      <c r="F907" s="12"/>
      <c r="G907" s="11" t="s">
        <v>2319</v>
      </c>
      <c r="H907" s="12"/>
      <c r="I907" s="13">
        <v>5</v>
      </c>
      <c r="J907" s="13">
        <v>6</v>
      </c>
      <c r="K907" s="14" t="str">
        <f t="shared" si="186"/>
        <v>bitMomentum Bot</v>
      </c>
      <c r="L907" s="13">
        <v>10132</v>
      </c>
      <c r="M907" s="13">
        <v>1060</v>
      </c>
      <c r="N907" s="13">
        <v>262</v>
      </c>
      <c r="O907" s="15"/>
      <c r="P907" s="6">
        <v>41608.667511574073</v>
      </c>
      <c r="Q907" s="12"/>
      <c r="R907" s="17" t="s">
        <v>708</v>
      </c>
      <c r="S907" s="11" t="s">
        <v>709</v>
      </c>
      <c r="T907" s="12"/>
      <c r="U907" s="10" t="str">
        <f t="shared" si="187"/>
        <v>View</v>
      </c>
    </row>
    <row r="908" spans="1:21" ht="71.400000000000006">
      <c r="A908" s="6">
        <v>43425.92664351852</v>
      </c>
      <c r="B908" s="7" t="str">
        <f>HYPERLINK("https://twitter.com/joanbaldovi","@joanbaldovi")</f>
        <v>@joanbaldovi</v>
      </c>
      <c r="C908" s="8" t="s">
        <v>4186</v>
      </c>
      <c r="D908" s="9" t="s">
        <v>4862</v>
      </c>
      <c r="E908" s="10" t="str">
        <f>HYPERLINK("https://twitter.com/joanbaldovi/status/1065352743831961601","1065352743831961601")</f>
        <v>1065352743831961601</v>
      </c>
      <c r="F908" s="16" t="s">
        <v>733</v>
      </c>
      <c r="G908" s="11" t="s">
        <v>65</v>
      </c>
      <c r="H908" s="12"/>
      <c r="I908" s="13">
        <v>113</v>
      </c>
      <c r="J908" s="13">
        <v>185</v>
      </c>
      <c r="K908" s="14" t="str">
        <f>HYPERLINK("http://twitter.com/download/iphone","Twitter for iPhone")</f>
        <v>Twitter for iPhone</v>
      </c>
      <c r="L908" s="13">
        <v>48220</v>
      </c>
      <c r="M908" s="13">
        <v>1276</v>
      </c>
      <c r="N908" s="13">
        <v>491</v>
      </c>
      <c r="O908" s="18" t="s">
        <v>36</v>
      </c>
      <c r="P908" s="6">
        <v>40810.206134259257</v>
      </c>
      <c r="Q908" s="16" t="s">
        <v>4191</v>
      </c>
      <c r="R908" s="17" t="s">
        <v>4192</v>
      </c>
      <c r="S908" s="11" t="s">
        <v>4193</v>
      </c>
      <c r="T908" s="12"/>
      <c r="U908" s="10" t="str">
        <f>HYPERLINK("https://pbs.twimg.com/profile_images/859427286738763777/VNRwddkZ.jpg","View")</f>
        <v>View</v>
      </c>
    </row>
    <row r="909" spans="1:21" ht="30.6">
      <c r="A909" s="6">
        <v>43425.926631944443</v>
      </c>
      <c r="B909" s="7" t="str">
        <f>HYPERLINK("https://twitter.com/_Xacoal","@_Xacoal")</f>
        <v>@_Xacoal</v>
      </c>
      <c r="C909" s="8" t="s">
        <v>4866</v>
      </c>
      <c r="D909" s="9" t="s">
        <v>4867</v>
      </c>
      <c r="E909" s="10" t="str">
        <f>HYPERLINK("https://twitter.com/_Xacoal/status/1065352742565277698","1065352742565277698")</f>
        <v>1065352742565277698</v>
      </c>
      <c r="F909" s="12"/>
      <c r="G909" s="12"/>
      <c r="H909" s="12"/>
      <c r="I909" s="13">
        <v>0</v>
      </c>
      <c r="J909" s="13">
        <v>0</v>
      </c>
      <c r="K909" s="14" t="str">
        <f t="shared" ref="K909:K911" si="188">HYPERLINK("http://twitter.com","Twitter Web Client")</f>
        <v>Twitter Web Client</v>
      </c>
      <c r="L909" s="13">
        <v>712</v>
      </c>
      <c r="M909" s="13">
        <v>700</v>
      </c>
      <c r="N909" s="13">
        <v>15</v>
      </c>
      <c r="O909" s="15"/>
      <c r="P909" s="6">
        <v>40866.682673611111</v>
      </c>
      <c r="Q909" s="16" t="s">
        <v>4868</v>
      </c>
      <c r="R909" s="17" t="s">
        <v>4869</v>
      </c>
      <c r="S909" s="11" t="s">
        <v>4870</v>
      </c>
      <c r="T909" s="12"/>
      <c r="U909" s="10" t="str">
        <f>HYPERLINK("https://pbs.twimg.com/profile_images/843182247326965761/EvcsOCRT.jpg","View")</f>
        <v>View</v>
      </c>
    </row>
    <row r="910" spans="1:21" ht="30.6">
      <c r="A910" s="6">
        <v>43425.925937499997</v>
      </c>
      <c r="B910" s="7" t="str">
        <f>HYPERLINK("https://twitter.com/ALCIDESVIGO","@ALCIDESVIGO")</f>
        <v>@ALCIDESVIGO</v>
      </c>
      <c r="C910" s="8" t="s">
        <v>4872</v>
      </c>
      <c r="D910" s="9" t="s">
        <v>4873</v>
      </c>
      <c r="E910" s="10" t="str">
        <f>HYPERLINK("https://twitter.com/ALCIDESVIGO/status/1065352488767901697","1065352488767901697")</f>
        <v>1065352488767901697</v>
      </c>
      <c r="F910" s="11" t="s">
        <v>3572</v>
      </c>
      <c r="G910" s="12"/>
      <c r="H910" s="12"/>
      <c r="I910" s="13">
        <v>0</v>
      </c>
      <c r="J910" s="13">
        <v>0</v>
      </c>
      <c r="K910" s="14" t="str">
        <f t="shared" si="188"/>
        <v>Twitter Web Client</v>
      </c>
      <c r="L910" s="13">
        <v>67</v>
      </c>
      <c r="M910" s="13">
        <v>116</v>
      </c>
      <c r="N910" s="13">
        <v>0</v>
      </c>
      <c r="O910" s="15"/>
      <c r="P910" s="6">
        <v>41012.32603009259</v>
      </c>
      <c r="Q910" s="12"/>
      <c r="R910" s="17" t="s">
        <v>4874</v>
      </c>
      <c r="S910" s="12"/>
      <c r="T910" s="12"/>
      <c r="U910" s="10" t="str">
        <f>HYPERLINK("https://pbs.twimg.com/profile_images/537762296408199168/O41YDzKS.jpeg","View")</f>
        <v>View</v>
      </c>
    </row>
    <row r="911" spans="1:21" ht="40.799999999999997">
      <c r="A911" s="6">
        <v>43425.923935185187</v>
      </c>
      <c r="B911" s="7" t="str">
        <f>HYPERLINK("https://twitter.com/numeromil_M","@numeromil_M")</f>
        <v>@numeromil_M</v>
      </c>
      <c r="C911" s="8" t="s">
        <v>2253</v>
      </c>
      <c r="D911" s="9" t="s">
        <v>2322</v>
      </c>
      <c r="E911" s="10" t="str">
        <f>HYPERLINK("https://twitter.com/numeromil_M/status/1065351765464363008","1065351765464363008")</f>
        <v>1065351765464363008</v>
      </c>
      <c r="F911" s="12"/>
      <c r="G911" s="12"/>
      <c r="H911" s="12"/>
      <c r="I911" s="13">
        <v>0</v>
      </c>
      <c r="J911" s="13">
        <v>0</v>
      </c>
      <c r="K911" s="14" t="str">
        <f t="shared" si="188"/>
        <v>Twitter Web Client</v>
      </c>
      <c r="L911" s="13">
        <v>460</v>
      </c>
      <c r="M911" s="13">
        <v>643</v>
      </c>
      <c r="N911" s="13">
        <v>5</v>
      </c>
      <c r="O911" s="15"/>
      <c r="P911" s="6">
        <v>40681.979942129634</v>
      </c>
      <c r="Q911" s="12"/>
      <c r="R911" s="17" t="s">
        <v>2255</v>
      </c>
      <c r="S911" s="12"/>
      <c r="T911" s="12"/>
      <c r="U911" s="10" t="str">
        <f>HYPERLINK("https://pbs.twimg.com/profile_images/816336816391520256/C7p6BkCb.jpg","View")</f>
        <v>View</v>
      </c>
    </row>
    <row r="912" spans="1:21" ht="61.2">
      <c r="A912" s="6">
        <v>43425.922615740739</v>
      </c>
      <c r="B912" s="7" t="str">
        <f>HYPERLINK("https://twitter.com/Lidiaroguz","@Lidiaroguz")</f>
        <v>@Lidiaroguz</v>
      </c>
      <c r="C912" s="8" t="s">
        <v>4878</v>
      </c>
      <c r="D912" s="9" t="s">
        <v>4879</v>
      </c>
      <c r="E912" s="10" t="str">
        <f>HYPERLINK("https://twitter.com/Lidiaroguz/status/1065351287125016578","1065351287125016578")</f>
        <v>1065351287125016578</v>
      </c>
      <c r="F912" s="16" t="s">
        <v>4882</v>
      </c>
      <c r="G912" s="12"/>
      <c r="H912" s="12"/>
      <c r="I912" s="13">
        <v>0</v>
      </c>
      <c r="J912" s="13">
        <v>1</v>
      </c>
      <c r="K912" s="14" t="str">
        <f t="shared" ref="K912:K913" si="189">HYPERLINK("http://twitter.com/download/android","Twitter for Android")</f>
        <v>Twitter for Android</v>
      </c>
      <c r="L912" s="13">
        <v>1496</v>
      </c>
      <c r="M912" s="13">
        <v>1119</v>
      </c>
      <c r="N912" s="13">
        <v>42</v>
      </c>
      <c r="O912" s="15"/>
      <c r="P912" s="6">
        <v>40961.718541666669</v>
      </c>
      <c r="Q912" s="12"/>
      <c r="R912" s="17" t="s">
        <v>4883</v>
      </c>
      <c r="S912" s="12"/>
      <c r="T912" s="12"/>
      <c r="U912" s="10" t="str">
        <f>HYPERLINK("https://pbs.twimg.com/profile_images/1062485035150950400/RB9pY3EB.jpg","View")</f>
        <v>View</v>
      </c>
    </row>
    <row r="913" spans="1:21" ht="40.799999999999997">
      <c r="A913" s="6">
        <v>43425.921180555553</v>
      </c>
      <c r="B913" s="7" t="str">
        <f>HYPERLINK("https://twitter.com/Moonshadow2020","@Moonshadow2020")</f>
        <v>@Moonshadow2020</v>
      </c>
      <c r="C913" s="8" t="s">
        <v>4885</v>
      </c>
      <c r="D913" s="9" t="s">
        <v>4886</v>
      </c>
      <c r="E913" s="10" t="str">
        <f>HYPERLINK("https://twitter.com/Moonshadow2020/status/1065350767878569984","1065350767878569984")</f>
        <v>1065350767878569984</v>
      </c>
      <c r="F913" s="11" t="s">
        <v>4888</v>
      </c>
      <c r="G913" s="12"/>
      <c r="H913" s="12"/>
      <c r="I913" s="13">
        <v>0</v>
      </c>
      <c r="J913" s="13">
        <v>2</v>
      </c>
      <c r="K913" s="14" t="str">
        <f t="shared" si="189"/>
        <v>Twitter for Android</v>
      </c>
      <c r="L913" s="13">
        <v>1924</v>
      </c>
      <c r="M913" s="13">
        <v>4070</v>
      </c>
      <c r="N913" s="13">
        <v>3</v>
      </c>
      <c r="O913" s="15"/>
      <c r="P913" s="6">
        <v>40483.880810185183</v>
      </c>
      <c r="Q913" s="16" t="s">
        <v>4889</v>
      </c>
      <c r="R913" s="17" t="s">
        <v>4890</v>
      </c>
      <c r="S913" s="12"/>
      <c r="T913" s="12"/>
      <c r="U913" s="10" t="str">
        <f>HYPERLINK("https://pbs.twimg.com/profile_images/1048666088786018304/blW9bV8W.jpg","View")</f>
        <v>View</v>
      </c>
    </row>
    <row r="914" spans="1:21" ht="30.6">
      <c r="A914" s="6">
        <v>43425.920590277776</v>
      </c>
      <c r="B914" s="7" t="str">
        <f>HYPERLINK("https://twitter.com/c072075","@c072075")</f>
        <v>@c072075</v>
      </c>
      <c r="C914" s="8" t="s">
        <v>4891</v>
      </c>
      <c r="D914" s="9" t="s">
        <v>4892</v>
      </c>
      <c r="E914" s="10" t="str">
        <f>HYPERLINK("https://twitter.com/c072075/status/1065350550374547456","1065350550374547456")</f>
        <v>1065350550374547456</v>
      </c>
      <c r="F914" s="12"/>
      <c r="G914" s="12"/>
      <c r="H914" s="12"/>
      <c r="I914" s="13">
        <v>0</v>
      </c>
      <c r="J914" s="13">
        <v>1</v>
      </c>
      <c r="K914" s="14" t="str">
        <f>HYPERLINK("http://twitter.com/#!/download/ipad","Twitter for iPad")</f>
        <v>Twitter for iPad</v>
      </c>
      <c r="L914" s="13">
        <v>287</v>
      </c>
      <c r="M914" s="13">
        <v>442</v>
      </c>
      <c r="N914" s="13">
        <v>8</v>
      </c>
      <c r="O914" s="15"/>
      <c r="P914" s="6">
        <v>40013.601041666669</v>
      </c>
      <c r="Q914" s="16" t="s">
        <v>4895</v>
      </c>
      <c r="R914" s="17" t="s">
        <v>4896</v>
      </c>
      <c r="S914" s="12"/>
      <c r="T914" s="12"/>
      <c r="U914" s="10" t="str">
        <f>HYPERLINK("https://pbs.twimg.com/profile_images/584356504297418752/TUKQsrmG.jpg","View")</f>
        <v>View</v>
      </c>
    </row>
    <row r="915" spans="1:21" ht="30.6">
      <c r="A915" s="6">
        <v>43425.918749999997</v>
      </c>
      <c r="B915" s="7" t="str">
        <f>HYPERLINK("https://twitter.com/pallaron12","@pallaron12")</f>
        <v>@pallaron12</v>
      </c>
      <c r="C915" s="8" t="s">
        <v>4898</v>
      </c>
      <c r="D915" s="9" t="s">
        <v>4899</v>
      </c>
      <c r="E915" s="10" t="str">
        <f>HYPERLINK("https://twitter.com/pallaron12/status/1065349883442409472","1065349883442409472")</f>
        <v>1065349883442409472</v>
      </c>
      <c r="F915" s="11" t="s">
        <v>4901</v>
      </c>
      <c r="G915" s="12"/>
      <c r="H915" s="12"/>
      <c r="I915" s="13">
        <v>0</v>
      </c>
      <c r="J915" s="13">
        <v>0</v>
      </c>
      <c r="K915" s="14" t="str">
        <f>HYPERLINK("http://twitter.com/download/android","Twitter for Android")</f>
        <v>Twitter for Android</v>
      </c>
      <c r="L915" s="13">
        <v>1412</v>
      </c>
      <c r="M915" s="13">
        <v>501</v>
      </c>
      <c r="N915" s="13">
        <v>8</v>
      </c>
      <c r="O915" s="15"/>
      <c r="P915" s="6">
        <v>41854.66134259259</v>
      </c>
      <c r="Q915" s="16" t="s">
        <v>4903</v>
      </c>
      <c r="R915" s="17" t="s">
        <v>4904</v>
      </c>
      <c r="S915" s="12"/>
      <c r="T915" s="12"/>
      <c r="U915" s="10" t="str">
        <f>HYPERLINK("https://pbs.twimg.com/profile_images/1064713832633896961/NkwZ7D9D.jpg","View")</f>
        <v>View</v>
      </c>
    </row>
    <row r="916" spans="1:21" ht="71.400000000000006">
      <c r="A916" s="6">
        <v>43425.917361111111</v>
      </c>
      <c r="B916" s="7" t="str">
        <f>HYPERLINK("https://twitter.com/ilicitano00","@ilicitano00")</f>
        <v>@ilicitano00</v>
      </c>
      <c r="C916" s="8" t="s">
        <v>2323</v>
      </c>
      <c r="D916" s="9" t="s">
        <v>2324</v>
      </c>
      <c r="E916" s="10" t="str">
        <f>HYPERLINK("https://twitter.com/ilicitano00/status/1065349382508331008","1065349382508331008")</f>
        <v>1065349382508331008</v>
      </c>
      <c r="F916" s="11" t="s">
        <v>1059</v>
      </c>
      <c r="G916" s="11" t="s">
        <v>1060</v>
      </c>
      <c r="H916" s="12"/>
      <c r="I916" s="13">
        <v>2</v>
      </c>
      <c r="J916" s="13">
        <v>0</v>
      </c>
      <c r="K916" s="14" t="str">
        <f>HYPERLINK("http://twitter.com","Twitter Web Client")</f>
        <v>Twitter Web Client</v>
      </c>
      <c r="L916" s="13">
        <v>230</v>
      </c>
      <c r="M916" s="13">
        <v>371</v>
      </c>
      <c r="N916" s="13">
        <v>3</v>
      </c>
      <c r="O916" s="15"/>
      <c r="P916" s="6">
        <v>42919.975601851853</v>
      </c>
      <c r="Q916" s="16" t="s">
        <v>37</v>
      </c>
      <c r="R916" s="17" t="s">
        <v>2328</v>
      </c>
      <c r="S916" s="11" t="s">
        <v>2329</v>
      </c>
      <c r="T916" s="12"/>
      <c r="U916" s="10" t="str">
        <f>HYPERLINK("https://pbs.twimg.com/profile_images/1058681836870795265/-j_o2c8L.jpg","View")</f>
        <v>View</v>
      </c>
    </row>
    <row r="917" spans="1:21" ht="51">
      <c r="A917" s="6">
        <v>43425.916041666671</v>
      </c>
      <c r="B917" s="7" t="str">
        <f>HYPERLINK("https://twitter.com/antigilis","@antigilis")</f>
        <v>@antigilis</v>
      </c>
      <c r="C917" s="8" t="s">
        <v>301</v>
      </c>
      <c r="D917" s="9" t="s">
        <v>2332</v>
      </c>
      <c r="E917" s="10" t="str">
        <f>HYPERLINK("https://twitter.com/antigilis/status/1065348905028763648","1065348905028763648")</f>
        <v>1065348905028763648</v>
      </c>
      <c r="F917" s="12"/>
      <c r="G917" s="11" t="s">
        <v>2333</v>
      </c>
      <c r="H917" s="12"/>
      <c r="I917" s="13">
        <v>43</v>
      </c>
      <c r="J917" s="13">
        <v>47</v>
      </c>
      <c r="K917" s="14" t="str">
        <f t="shared" ref="K917:K918" si="190">HYPERLINK("http://twitter.com/download/android","Twitter for Android")</f>
        <v>Twitter for Android</v>
      </c>
      <c r="L917" s="13">
        <v>2162</v>
      </c>
      <c r="M917" s="13">
        <v>3255</v>
      </c>
      <c r="N917" s="13">
        <v>7</v>
      </c>
      <c r="O917" s="15"/>
      <c r="P917" s="6">
        <v>42785.648877314816</v>
      </c>
      <c r="Q917" s="16" t="s">
        <v>304</v>
      </c>
      <c r="R917" s="17" t="s">
        <v>305</v>
      </c>
      <c r="S917" s="12"/>
      <c r="T917" s="12"/>
      <c r="U917" s="10" t="str">
        <f>HYPERLINK("https://pbs.twimg.com/profile_images/1064154576352350209/oVr7S2uX.jpg","View")</f>
        <v>View</v>
      </c>
    </row>
    <row r="918" spans="1:21" ht="71.400000000000006">
      <c r="A918" s="6">
        <v>43425.915196759262</v>
      </c>
      <c r="B918" s="7" t="str">
        <f>HYPERLINK("https://twitter.com/RuyDeClavijo","@RuyDeClavijo")</f>
        <v>@RuyDeClavijo</v>
      </c>
      <c r="C918" s="8" t="s">
        <v>2335</v>
      </c>
      <c r="D918" s="9" t="s">
        <v>2336</v>
      </c>
      <c r="E918" s="10" t="str">
        <f>HYPERLINK("https://twitter.com/RuyDeClavijo/status/1065348597816926208","1065348597816926208")</f>
        <v>1065348597816926208</v>
      </c>
      <c r="F918" s="11" t="s">
        <v>2337</v>
      </c>
      <c r="G918" s="11" t="s">
        <v>2338</v>
      </c>
      <c r="H918" s="12"/>
      <c r="I918" s="13">
        <v>2</v>
      </c>
      <c r="J918" s="13">
        <v>6</v>
      </c>
      <c r="K918" s="14" t="str">
        <f t="shared" si="190"/>
        <v>Twitter for Android</v>
      </c>
      <c r="L918" s="13">
        <v>15378</v>
      </c>
      <c r="M918" s="13">
        <v>14437</v>
      </c>
      <c r="N918" s="13">
        <v>99</v>
      </c>
      <c r="O918" s="15"/>
      <c r="P918" s="6">
        <v>41213.966956018521</v>
      </c>
      <c r="Q918" s="16" t="s">
        <v>2339</v>
      </c>
      <c r="R918" s="17" t="s">
        <v>2340</v>
      </c>
      <c r="S918" s="12"/>
      <c r="T918" s="12"/>
      <c r="U918" s="10" t="str">
        <f>HYPERLINK("https://pbs.twimg.com/profile_images/1060639465062981633/hfcZ7VKB.jpg","View")</f>
        <v>View</v>
      </c>
    </row>
    <row r="919" spans="1:21" ht="40.799999999999997">
      <c r="A919" s="6">
        <v>43425.914201388892</v>
      </c>
      <c r="B919" s="7" t="str">
        <f>HYPERLINK("https://twitter.com/LekaconK","@LekaconK")</f>
        <v>@LekaconK</v>
      </c>
      <c r="C919" s="8" t="s">
        <v>430</v>
      </c>
      <c r="D919" s="9" t="s">
        <v>4914</v>
      </c>
      <c r="E919" s="10" t="str">
        <f>HYPERLINK("https://twitter.com/LekaconK/status/1065348237182275591","1065348237182275591")</f>
        <v>1065348237182275591</v>
      </c>
      <c r="F919" s="12"/>
      <c r="G919" s="11" t="s">
        <v>4916</v>
      </c>
      <c r="H919" s="12"/>
      <c r="I919" s="13">
        <v>167</v>
      </c>
      <c r="J919" s="13">
        <v>329</v>
      </c>
      <c r="K919" s="14" t="str">
        <f>HYPERLINK("http://twitter.com","Twitter Web Client")</f>
        <v>Twitter Web Client</v>
      </c>
      <c r="L919" s="13">
        <v>105346</v>
      </c>
      <c r="M919" s="13">
        <v>55234</v>
      </c>
      <c r="N919" s="13">
        <v>499</v>
      </c>
      <c r="O919" s="15"/>
      <c r="P919" s="6">
        <v>41651.585011574076</v>
      </c>
      <c r="Q919" s="16" t="s">
        <v>434</v>
      </c>
      <c r="R919" s="17" t="s">
        <v>435</v>
      </c>
      <c r="S919" s="11" t="s">
        <v>436</v>
      </c>
      <c r="T919" s="12"/>
      <c r="U919" s="10" t="str">
        <f>HYPERLINK("https://pbs.twimg.com/profile_images/978390509071880192/dagJv_P2.jpg","View")</f>
        <v>View</v>
      </c>
    </row>
    <row r="920" spans="1:21" ht="20.399999999999999">
      <c r="A920" s="6">
        <v>43425.910960648151</v>
      </c>
      <c r="B920" s="7" t="str">
        <f>HYPERLINK("https://twitter.com/itosarceconde","@itosarceconde")</f>
        <v>@itosarceconde</v>
      </c>
      <c r="C920" s="8" t="s">
        <v>4918</v>
      </c>
      <c r="D920" s="9" t="s">
        <v>1503</v>
      </c>
      <c r="E920" s="10" t="str">
        <f>HYPERLINK("https://twitter.com/itosarceconde/status/1065347064136122368","1065347064136122368")</f>
        <v>1065347064136122368</v>
      </c>
      <c r="F920" s="11" t="s">
        <v>4036</v>
      </c>
      <c r="G920" s="12"/>
      <c r="H920" s="12"/>
      <c r="I920" s="13">
        <v>0</v>
      </c>
      <c r="J920" s="13">
        <v>0</v>
      </c>
      <c r="K920" s="14" t="str">
        <f>HYPERLINK("http://twitter.com/download/android","Twitter for Android")</f>
        <v>Twitter for Android</v>
      </c>
      <c r="L920" s="13">
        <v>437</v>
      </c>
      <c r="M920" s="13">
        <v>567</v>
      </c>
      <c r="N920" s="13">
        <v>28</v>
      </c>
      <c r="O920" s="15"/>
      <c r="P920" s="6">
        <v>40608.935243055559</v>
      </c>
      <c r="Q920" s="16" t="s">
        <v>4921</v>
      </c>
      <c r="R920" s="17" t="s">
        <v>4922</v>
      </c>
      <c r="S920" s="12"/>
      <c r="T920" s="12"/>
      <c r="U920" s="10" t="str">
        <f>HYPERLINK("https://pbs.twimg.com/profile_images/1054363208998416391/nhN65C1b.jpg","View")</f>
        <v>View</v>
      </c>
    </row>
    <row r="921" spans="1:21" ht="61.2">
      <c r="A921" s="6">
        <v>43425.910046296296</v>
      </c>
      <c r="B921" s="7" t="str">
        <f>HYPERLINK("https://twitter.com/raulmorenom","@raulmorenom")</f>
        <v>@raulmorenom</v>
      </c>
      <c r="C921" s="8" t="s">
        <v>4925</v>
      </c>
      <c r="D921" s="9" t="s">
        <v>4926</v>
      </c>
      <c r="E921" s="10" t="str">
        <f>HYPERLINK("https://twitter.com/raulmorenom/status/1065346729267130368","1065346729267130368")</f>
        <v>1065346729267130368</v>
      </c>
      <c r="F921" s="16" t="s">
        <v>3118</v>
      </c>
      <c r="G921" s="11" t="s">
        <v>2571</v>
      </c>
      <c r="H921" s="12"/>
      <c r="I921" s="13">
        <v>55</v>
      </c>
      <c r="J921" s="13">
        <v>51</v>
      </c>
      <c r="K921" s="14" t="str">
        <f>HYPERLINK("http://twitter.com/download/iphone","Twitter for iPhone")</f>
        <v>Twitter for iPhone</v>
      </c>
      <c r="L921" s="13">
        <v>4969</v>
      </c>
      <c r="M921" s="13">
        <v>3930</v>
      </c>
      <c r="N921" s="13">
        <v>63</v>
      </c>
      <c r="O921" s="15"/>
      <c r="P921" s="6">
        <v>40673.388101851851</v>
      </c>
      <c r="Q921" s="16" t="s">
        <v>4928</v>
      </c>
      <c r="R921" s="17" t="s">
        <v>4929</v>
      </c>
      <c r="S921" s="11" t="s">
        <v>4930</v>
      </c>
      <c r="T921" s="12"/>
      <c r="U921" s="10" t="str">
        <f>HYPERLINK("https://pbs.twimg.com/profile_images/1054743218825428993/ZfL3ii3c.jpg","View")</f>
        <v>View</v>
      </c>
    </row>
    <row r="922" spans="1:21" ht="30.6">
      <c r="A922" s="6">
        <v>43425.908657407403</v>
      </c>
      <c r="B922" s="7" t="str">
        <f>HYPERLINK("https://twitter.com/abejota94","@abejota94")</f>
        <v>@abejota94</v>
      </c>
      <c r="C922" s="8" t="s">
        <v>2342</v>
      </c>
      <c r="D922" s="9" t="s">
        <v>2343</v>
      </c>
      <c r="E922" s="10" t="str">
        <f>HYPERLINK("https://twitter.com/abejota94/status/1065346228840513537","1065346228840513537")</f>
        <v>1065346228840513537</v>
      </c>
      <c r="F922" s="12"/>
      <c r="G922" s="11" t="s">
        <v>2344</v>
      </c>
      <c r="H922" s="12"/>
      <c r="I922" s="13">
        <v>1</v>
      </c>
      <c r="J922" s="13">
        <v>5</v>
      </c>
      <c r="K922" s="14" t="str">
        <f t="shared" ref="K922:K924" si="191">HYPERLINK("http://twitter.com/download/android","Twitter for Android")</f>
        <v>Twitter for Android</v>
      </c>
      <c r="L922" s="13">
        <v>157</v>
      </c>
      <c r="M922" s="13">
        <v>345</v>
      </c>
      <c r="N922" s="13">
        <v>2</v>
      </c>
      <c r="O922" s="15"/>
      <c r="P922" s="6">
        <v>40855.711180555554</v>
      </c>
      <c r="Q922" s="16" t="s">
        <v>2348</v>
      </c>
      <c r="R922" s="17" t="s">
        <v>2349</v>
      </c>
      <c r="S922" s="12"/>
      <c r="T922" s="12"/>
      <c r="U922" s="10" t="str">
        <f>HYPERLINK("https://pbs.twimg.com/profile_images/909696915012489216/qksAD-Tb.jpg","View")</f>
        <v>View</v>
      </c>
    </row>
    <row r="923" spans="1:21" ht="91.8">
      <c r="A923" s="6">
        <v>43425.908043981486</v>
      </c>
      <c r="B923" s="7" t="str">
        <f>HYPERLINK("https://twitter.com/andergsolana","@andergsolana")</f>
        <v>@andergsolana</v>
      </c>
      <c r="C923" s="8" t="s">
        <v>1361</v>
      </c>
      <c r="D923" s="9" t="s">
        <v>2352</v>
      </c>
      <c r="E923" s="10" t="str">
        <f>HYPERLINK("https://twitter.com/andergsolana/status/1065346007364526080","1065346007364526080")</f>
        <v>1065346007364526080</v>
      </c>
      <c r="F923" s="16" t="s">
        <v>594</v>
      </c>
      <c r="G923" s="12"/>
      <c r="H923" s="12"/>
      <c r="I923" s="13">
        <v>1</v>
      </c>
      <c r="J923" s="13">
        <v>1</v>
      </c>
      <c r="K923" s="14" t="str">
        <f t="shared" si="191"/>
        <v>Twitter for Android</v>
      </c>
      <c r="L923" s="13">
        <v>877</v>
      </c>
      <c r="M923" s="13">
        <v>340</v>
      </c>
      <c r="N923" s="13">
        <v>24</v>
      </c>
      <c r="O923" s="15"/>
      <c r="P923" s="6">
        <v>41798.895613425928</v>
      </c>
      <c r="Q923" s="12"/>
      <c r="R923" s="17" t="s">
        <v>1366</v>
      </c>
      <c r="S923" s="12"/>
      <c r="T923" s="12"/>
      <c r="U923" s="10" t="str">
        <f>HYPERLINK("https://pbs.twimg.com/profile_images/654311950558625792/RYG74NKt.jpg","View")</f>
        <v>View</v>
      </c>
    </row>
    <row r="924" spans="1:21" ht="40.799999999999997">
      <c r="A924" s="6">
        <v>43425.907905092594</v>
      </c>
      <c r="B924" s="7" t="str">
        <f>HYPERLINK("https://twitter.com/pita1917malaga","@pita1917malaga")</f>
        <v>@pita1917malaga</v>
      </c>
      <c r="C924" s="8" t="s">
        <v>2354</v>
      </c>
      <c r="D924" s="9" t="s">
        <v>2355</v>
      </c>
      <c r="E924" s="10" t="str">
        <f>HYPERLINK("https://twitter.com/pita1917malaga/status/1065345955917176835","1065345955917176835")</f>
        <v>1065345955917176835</v>
      </c>
      <c r="F924" s="12"/>
      <c r="G924" s="12"/>
      <c r="H924" s="12"/>
      <c r="I924" s="13">
        <v>0</v>
      </c>
      <c r="J924" s="13">
        <v>1</v>
      </c>
      <c r="K924" s="14" t="str">
        <f t="shared" si="191"/>
        <v>Twitter for Android</v>
      </c>
      <c r="L924" s="13">
        <v>6551</v>
      </c>
      <c r="M924" s="13">
        <v>3551</v>
      </c>
      <c r="N924" s="13">
        <v>83</v>
      </c>
      <c r="O924" s="15"/>
      <c r="P924" s="6">
        <v>40985.997731481482</v>
      </c>
      <c r="Q924" s="16" t="s">
        <v>2358</v>
      </c>
      <c r="R924" s="17" t="s">
        <v>2359</v>
      </c>
      <c r="S924" s="12"/>
      <c r="T924" s="12"/>
      <c r="U924" s="10" t="str">
        <f>HYPERLINK("https://pbs.twimg.com/profile_images/938210775197540353/b-KACUxy.jpg","View")</f>
        <v>View</v>
      </c>
    </row>
    <row r="925" spans="1:21" ht="30.6">
      <c r="A925" s="6">
        <v>43425.907384259262</v>
      </c>
      <c r="B925" s="7" t="str">
        <f>HYPERLINK("https://twitter.com/PedroPmotero","@PedroPmotero")</f>
        <v>@PedroPmotero</v>
      </c>
      <c r="C925" s="8" t="s">
        <v>4939</v>
      </c>
      <c r="D925" s="9" t="s">
        <v>4095</v>
      </c>
      <c r="E925" s="10" t="str">
        <f>HYPERLINK("https://twitter.com/PedroPmotero/status/1065345768213676032","1065345768213676032")</f>
        <v>1065345768213676032</v>
      </c>
      <c r="F925" s="11" t="s">
        <v>4096</v>
      </c>
      <c r="G925" s="12"/>
      <c r="H925" s="12"/>
      <c r="I925" s="13">
        <v>2</v>
      </c>
      <c r="J925" s="13">
        <v>1</v>
      </c>
      <c r="K925" s="14" t="str">
        <f>HYPERLINK("http://twitter.com/#!/download/ipad","Twitter for iPad")</f>
        <v>Twitter for iPad</v>
      </c>
      <c r="L925" s="13">
        <v>15402</v>
      </c>
      <c r="M925" s="13">
        <v>10702</v>
      </c>
      <c r="N925" s="13">
        <v>105</v>
      </c>
      <c r="O925" s="15"/>
      <c r="P925" s="6">
        <v>40949.399178240739</v>
      </c>
      <c r="Q925" s="16" t="s">
        <v>4941</v>
      </c>
      <c r="R925" s="17" t="s">
        <v>4942</v>
      </c>
      <c r="S925" s="12"/>
      <c r="T925" s="12"/>
      <c r="U925" s="10" t="str">
        <f>HYPERLINK("https://pbs.twimg.com/profile_images/1060236053385220096/HHWME8I9.jpg","View")</f>
        <v>View</v>
      </c>
    </row>
    <row r="926" spans="1:21" ht="40.799999999999997">
      <c r="A926" s="6">
        <v>43425.907222222224</v>
      </c>
      <c r="B926" s="7" t="str">
        <f>HYPERLINK("https://twitter.com/RubenRED_","@RubenRED_")</f>
        <v>@RubenRED_</v>
      </c>
      <c r="C926" s="8" t="s">
        <v>2360</v>
      </c>
      <c r="D926" s="9" t="s">
        <v>2361</v>
      </c>
      <c r="E926" s="10" t="str">
        <f>HYPERLINK("https://twitter.com/RubenRED_/status/1065345706351837185","1065345706351837185")</f>
        <v>1065345706351837185</v>
      </c>
      <c r="F926" s="11" t="s">
        <v>2364</v>
      </c>
      <c r="G926" s="11" t="s">
        <v>2365</v>
      </c>
      <c r="H926" s="12"/>
      <c r="I926" s="13">
        <v>1</v>
      </c>
      <c r="J926" s="13">
        <v>0</v>
      </c>
      <c r="K926" s="14" t="str">
        <f t="shared" ref="K926:K927" si="192">HYPERLINK("http://twitter.com/download/iphone","Twitter for iPhone")</f>
        <v>Twitter for iPhone</v>
      </c>
      <c r="L926" s="13">
        <v>6</v>
      </c>
      <c r="M926" s="13">
        <v>55</v>
      </c>
      <c r="N926" s="13">
        <v>0</v>
      </c>
      <c r="O926" s="15"/>
      <c r="P926" s="6">
        <v>43425.041585648149</v>
      </c>
      <c r="Q926" s="16" t="s">
        <v>118</v>
      </c>
      <c r="R926" s="17" t="s">
        <v>2368</v>
      </c>
      <c r="S926" s="12"/>
      <c r="T926" s="12"/>
      <c r="U926" s="10" t="str">
        <f>HYPERLINK("https://pbs.twimg.com/profile_images/1065191547489185792/lY4ICDU2.jpg","View")</f>
        <v>View</v>
      </c>
    </row>
    <row r="927" spans="1:21" ht="30.6">
      <c r="A927" s="6">
        <v>43425.906574074077</v>
      </c>
      <c r="B927" s="7" t="str">
        <f>HYPERLINK("https://twitter.com/edp","@edp")</f>
        <v>@edp</v>
      </c>
      <c r="C927" s="8" t="s">
        <v>140</v>
      </c>
      <c r="D927" s="9" t="s">
        <v>2370</v>
      </c>
      <c r="E927" s="10" t="str">
        <f>HYPERLINK("https://twitter.com/edp/status/1065345471399583747","1065345471399583747")</f>
        <v>1065345471399583747</v>
      </c>
      <c r="F927" s="16" t="s">
        <v>2372</v>
      </c>
      <c r="G927" s="12"/>
      <c r="H927" s="12"/>
      <c r="I927" s="13">
        <v>0</v>
      </c>
      <c r="J927" s="13">
        <v>2</v>
      </c>
      <c r="K927" s="14" t="str">
        <f t="shared" si="192"/>
        <v>Twitter for iPhone</v>
      </c>
      <c r="L927" s="13">
        <v>5613</v>
      </c>
      <c r="M927" s="13">
        <v>4117</v>
      </c>
      <c r="N927" s="13">
        <v>29</v>
      </c>
      <c r="O927" s="15"/>
      <c r="P927" s="6">
        <v>39289.674039351856</v>
      </c>
      <c r="Q927" s="16" t="s">
        <v>145</v>
      </c>
      <c r="R927" s="17" t="s">
        <v>146</v>
      </c>
      <c r="S927" s="11" t="s">
        <v>147</v>
      </c>
      <c r="T927" s="12"/>
      <c r="U927" s="10" t="str">
        <f>HYPERLINK("https://pbs.twimg.com/profile_images/922061033530896385/ykySPqpK.jpg","View")</f>
        <v>View</v>
      </c>
    </row>
    <row r="928" spans="1:21" ht="30.6">
      <c r="A928" s="6">
        <v>43425.906354166669</v>
      </c>
      <c r="B928" s="7" t="str">
        <f>HYPERLINK("https://twitter.com/danisanchezp","@danisanchezp")</f>
        <v>@danisanchezp</v>
      </c>
      <c r="C928" s="8" t="s">
        <v>2376</v>
      </c>
      <c r="D928" s="9" t="s">
        <v>2377</v>
      </c>
      <c r="E928" s="10" t="str">
        <f>HYPERLINK("https://twitter.com/danisanchezp/status/1065345393880375298","1065345393880375298")</f>
        <v>1065345393880375298</v>
      </c>
      <c r="F928" s="12"/>
      <c r="G928" s="11" t="s">
        <v>2379</v>
      </c>
      <c r="H928" s="12"/>
      <c r="I928" s="13">
        <v>29</v>
      </c>
      <c r="J928" s="13">
        <v>48</v>
      </c>
      <c r="K928" s="14" t="str">
        <f t="shared" ref="K928:K931" si="193">HYPERLINK("http://twitter.com/download/android","Twitter for Android")</f>
        <v>Twitter for Android</v>
      </c>
      <c r="L928" s="13">
        <v>6656</v>
      </c>
      <c r="M928" s="13">
        <v>915</v>
      </c>
      <c r="N928" s="13">
        <v>31</v>
      </c>
      <c r="O928" s="15"/>
      <c r="P928" s="6">
        <v>41511.762453703705</v>
      </c>
      <c r="Q928" s="16" t="s">
        <v>2381</v>
      </c>
      <c r="R928" s="17" t="s">
        <v>2383</v>
      </c>
      <c r="S928" s="11" t="s">
        <v>2384</v>
      </c>
      <c r="T928" s="12"/>
      <c r="U928" s="10" t="str">
        <f>HYPERLINK("https://pbs.twimg.com/profile_images/1047081382558801920/HKvVtASN.jpg","View")</f>
        <v>View</v>
      </c>
    </row>
    <row r="929" spans="1:21" ht="30.6">
      <c r="A929" s="6">
        <v>43425.905578703707</v>
      </c>
      <c r="B929" s="7" t="str">
        <f>HYPERLINK("https://twitter.com/AlegraAlonso","@AlegraAlonso")</f>
        <v>@AlegraAlonso</v>
      </c>
      <c r="C929" s="8" t="s">
        <v>4949</v>
      </c>
      <c r="D929" s="9" t="s">
        <v>4950</v>
      </c>
      <c r="E929" s="10" t="str">
        <f>HYPERLINK("https://twitter.com/AlegraAlonso/status/1065345113168199682","1065345113168199682")</f>
        <v>1065345113168199682</v>
      </c>
      <c r="F929" s="11" t="s">
        <v>3214</v>
      </c>
      <c r="G929" s="12"/>
      <c r="H929" s="12"/>
      <c r="I929" s="13">
        <v>0</v>
      </c>
      <c r="J929" s="13">
        <v>1</v>
      </c>
      <c r="K929" s="14" t="str">
        <f t="shared" si="193"/>
        <v>Twitter for Android</v>
      </c>
      <c r="L929" s="13">
        <v>4068</v>
      </c>
      <c r="M929" s="13">
        <v>3735</v>
      </c>
      <c r="N929" s="13">
        <v>122</v>
      </c>
      <c r="O929" s="15"/>
      <c r="P929" s="6">
        <v>40714.711527777778</v>
      </c>
      <c r="Q929" s="16" t="s">
        <v>4951</v>
      </c>
      <c r="R929" s="17" t="s">
        <v>4952</v>
      </c>
      <c r="S929" s="12"/>
      <c r="T929" s="12"/>
      <c r="U929" s="10" t="str">
        <f>HYPERLINK("https://pbs.twimg.com/profile_images/1002674778870898688/HakZHsR7.jpg","View")</f>
        <v>View</v>
      </c>
    </row>
    <row r="930" spans="1:21" ht="20.399999999999999">
      <c r="A930" s="6">
        <v>43425.904502314814</v>
      </c>
      <c r="B930" s="7" t="str">
        <f>HYPERLINK("https://twitter.com/Ghostown_","@Ghostown_")</f>
        <v>@Ghostown_</v>
      </c>
      <c r="C930" s="8" t="s">
        <v>4955</v>
      </c>
      <c r="D930" s="9" t="s">
        <v>4956</v>
      </c>
      <c r="E930" s="10" t="str">
        <f>HYPERLINK("https://twitter.com/Ghostown_/status/1065344721265090560","1065344721265090560")</f>
        <v>1065344721265090560</v>
      </c>
      <c r="F930" s="12"/>
      <c r="G930" s="12"/>
      <c r="H930" s="12"/>
      <c r="I930" s="13">
        <v>2</v>
      </c>
      <c r="J930" s="13">
        <v>1</v>
      </c>
      <c r="K930" s="14" t="str">
        <f t="shared" si="193"/>
        <v>Twitter for Android</v>
      </c>
      <c r="L930" s="13">
        <v>256</v>
      </c>
      <c r="M930" s="13">
        <v>277</v>
      </c>
      <c r="N930" s="13">
        <v>6</v>
      </c>
      <c r="O930" s="15"/>
      <c r="P930" s="6">
        <v>40706.482777777775</v>
      </c>
      <c r="Q930" s="16" t="s">
        <v>4957</v>
      </c>
      <c r="R930" s="17" t="s">
        <v>4958</v>
      </c>
      <c r="S930" s="12"/>
      <c r="T930" s="12"/>
      <c r="U930" s="10" t="str">
        <f>HYPERLINK("https://pbs.twimg.com/profile_images/759023964656177152/iZ9vyF2V.jpg","View")</f>
        <v>View</v>
      </c>
    </row>
    <row r="931" spans="1:21" ht="13.2">
      <c r="A931" s="6">
        <v>43425.904027777782</v>
      </c>
      <c r="B931" s="7" t="str">
        <f>HYPERLINK("https://twitter.com/jonmikel_98","@jonmikel_98")</f>
        <v>@jonmikel_98</v>
      </c>
      <c r="C931" s="8" t="s">
        <v>4961</v>
      </c>
      <c r="D931" s="9" t="s">
        <v>4962</v>
      </c>
      <c r="E931" s="10" t="str">
        <f>HYPERLINK("https://twitter.com/jonmikel_98/status/1065344550833713154","1065344550833713154")</f>
        <v>1065344550833713154</v>
      </c>
      <c r="F931" s="12"/>
      <c r="G931" s="12"/>
      <c r="H931" s="12"/>
      <c r="I931" s="13">
        <v>0</v>
      </c>
      <c r="J931" s="13">
        <v>0</v>
      </c>
      <c r="K931" s="14" t="str">
        <f t="shared" si="193"/>
        <v>Twitter for Android</v>
      </c>
      <c r="L931" s="13">
        <v>85</v>
      </c>
      <c r="M931" s="13">
        <v>198</v>
      </c>
      <c r="N931" s="13">
        <v>3</v>
      </c>
      <c r="O931" s="15"/>
      <c r="P931" s="6">
        <v>42394.561597222222</v>
      </c>
      <c r="Q931" s="16" t="s">
        <v>4965</v>
      </c>
      <c r="R931" s="17" t="s">
        <v>4966</v>
      </c>
      <c r="S931" s="11" t="s">
        <v>4967</v>
      </c>
      <c r="T931" s="12"/>
      <c r="U931" s="10" t="str">
        <f>HYPERLINK("https://pbs.twimg.com/profile_images/899285767062794241/iH7uEByK.jpg","View")</f>
        <v>View</v>
      </c>
    </row>
    <row r="932" spans="1:21" ht="30.6">
      <c r="A932" s="6">
        <v>43425.902800925927</v>
      </c>
      <c r="B932" s="7" t="str">
        <f>HYPERLINK("https://twitter.com/MiguelAGBatista","@MiguelAGBatista")</f>
        <v>@MiguelAGBatista</v>
      </c>
      <c r="C932" s="8" t="s">
        <v>2385</v>
      </c>
      <c r="D932" s="9" t="s">
        <v>2386</v>
      </c>
      <c r="E932" s="10" t="str">
        <f>HYPERLINK("https://twitter.com/MiguelAGBatista/status/1065344106539438081","1065344106539438081")</f>
        <v>1065344106539438081</v>
      </c>
      <c r="F932" s="11" t="s">
        <v>2387</v>
      </c>
      <c r="G932" s="11" t="s">
        <v>2388</v>
      </c>
      <c r="H932" s="12"/>
      <c r="I932" s="13">
        <v>0</v>
      </c>
      <c r="J932" s="13">
        <v>0</v>
      </c>
      <c r="K932" s="14" t="str">
        <f>HYPERLINK("https://buffer.com","Buffer")</f>
        <v>Buffer</v>
      </c>
      <c r="L932" s="13">
        <v>3065</v>
      </c>
      <c r="M932" s="13">
        <v>2757</v>
      </c>
      <c r="N932" s="13">
        <v>90</v>
      </c>
      <c r="O932" s="15"/>
      <c r="P932" s="6">
        <v>39928.688194444447</v>
      </c>
      <c r="Q932" s="16" t="s">
        <v>2389</v>
      </c>
      <c r="R932" s="17" t="s">
        <v>2390</v>
      </c>
      <c r="S932" s="12"/>
      <c r="T932" s="12"/>
      <c r="U932" s="10" t="str">
        <f>HYPERLINK("https://pbs.twimg.com/profile_images/917118513151692801/H_YCvEKH.jpg","View")</f>
        <v>View</v>
      </c>
    </row>
    <row r="933" spans="1:21" ht="30.6">
      <c r="A933" s="6">
        <v>43425.902118055557</v>
      </c>
      <c r="B933" s="7" t="str">
        <f>HYPERLINK("https://twitter.com/Cazatalentos","@Cazatalentos")</f>
        <v>@Cazatalentos</v>
      </c>
      <c r="C933" s="8" t="s">
        <v>4971</v>
      </c>
      <c r="D933" s="9" t="s">
        <v>4972</v>
      </c>
      <c r="E933" s="10" t="str">
        <f>HYPERLINK("https://twitter.com/Cazatalentos/status/1065343856701526017","1065343856701526017")</f>
        <v>1065343856701526017</v>
      </c>
      <c r="F933" s="12"/>
      <c r="G933" s="12"/>
      <c r="H933" s="12"/>
      <c r="I933" s="13">
        <v>23</v>
      </c>
      <c r="J933" s="13">
        <v>37</v>
      </c>
      <c r="K933" s="14" t="str">
        <f t="shared" ref="K933:K934" si="194">HYPERLINK("http://twitter.com","Twitter Web Client")</f>
        <v>Twitter Web Client</v>
      </c>
      <c r="L933" s="13">
        <v>76599</v>
      </c>
      <c r="M933" s="13">
        <v>7569</v>
      </c>
      <c r="N933" s="13">
        <v>600</v>
      </c>
      <c r="O933" s="15"/>
      <c r="P933" s="6">
        <v>40586.020960648151</v>
      </c>
      <c r="Q933" s="16" t="s">
        <v>37</v>
      </c>
      <c r="R933" s="17" t="s">
        <v>4975</v>
      </c>
      <c r="S933" s="12"/>
      <c r="T933" s="12"/>
      <c r="U933" s="10" t="str">
        <f>HYPERLINK("https://pbs.twimg.com/profile_images/1001624750798573568/y8QV7epd.jpg","View")</f>
        <v>View</v>
      </c>
    </row>
    <row r="934" spans="1:21" ht="40.799999999999997">
      <c r="A934" s="6">
        <v>43425.90115740741</v>
      </c>
      <c r="B934" s="7" t="str">
        <f>HYPERLINK("https://twitter.com/Echelon_43","@Echelon_43")</f>
        <v>@Echelon_43</v>
      </c>
      <c r="C934" s="8" t="s">
        <v>4978</v>
      </c>
      <c r="D934" s="9" t="s">
        <v>1697</v>
      </c>
      <c r="E934" s="10" t="str">
        <f>HYPERLINK("https://twitter.com/Echelon_43/status/1065343511099252736","1065343511099252736")</f>
        <v>1065343511099252736</v>
      </c>
      <c r="F934" s="11" t="s">
        <v>1700</v>
      </c>
      <c r="G934" s="12"/>
      <c r="H934" s="12"/>
      <c r="I934" s="13">
        <v>0</v>
      </c>
      <c r="J934" s="13">
        <v>0</v>
      </c>
      <c r="K934" s="14" t="str">
        <f t="shared" si="194"/>
        <v>Twitter Web Client</v>
      </c>
      <c r="L934" s="13">
        <v>896</v>
      </c>
      <c r="M934" s="13">
        <v>193</v>
      </c>
      <c r="N934" s="13">
        <v>65</v>
      </c>
      <c r="O934" s="15"/>
      <c r="P934" s="6">
        <v>40751.55537037037</v>
      </c>
      <c r="Q934" s="16" t="s">
        <v>118</v>
      </c>
      <c r="R934" s="17" t="s">
        <v>4983</v>
      </c>
      <c r="S934" s="12"/>
      <c r="T934" s="12"/>
      <c r="U934" s="10" t="str">
        <f>HYPERLINK("https://pbs.twimg.com/profile_images/921723596594143233/wkqlrmwK.jpg","View")</f>
        <v>View</v>
      </c>
    </row>
    <row r="935" spans="1:21" ht="30.6">
      <c r="A935" s="6">
        <v>43425.897939814815</v>
      </c>
      <c r="B935" s="7" t="str">
        <f>HYPERLINK("https://twitter.com/DeMeison","@DeMeison")</f>
        <v>@DeMeison</v>
      </c>
      <c r="C935" s="8" t="s">
        <v>4984</v>
      </c>
      <c r="D935" s="9" t="s">
        <v>4986</v>
      </c>
      <c r="E935" s="10" t="str">
        <f>HYPERLINK("https://twitter.com/DeMeison/status/1065342345217011717","1065342345217011717")</f>
        <v>1065342345217011717</v>
      </c>
      <c r="F935" s="12"/>
      <c r="G935" s="12"/>
      <c r="H935" s="12"/>
      <c r="I935" s="13">
        <v>1</v>
      </c>
      <c r="J935" s="13">
        <v>3</v>
      </c>
      <c r="K935" s="14" t="str">
        <f>HYPERLINK("http://twitter.com/download/android","Twitter for Android")</f>
        <v>Twitter for Android</v>
      </c>
      <c r="L935" s="13">
        <v>1567</v>
      </c>
      <c r="M935" s="13">
        <v>1236</v>
      </c>
      <c r="N935" s="13">
        <v>24</v>
      </c>
      <c r="O935" s="15"/>
      <c r="P935" s="6">
        <v>40711.818657407406</v>
      </c>
      <c r="Q935" s="16" t="s">
        <v>4989</v>
      </c>
      <c r="R935" s="17" t="s">
        <v>4990</v>
      </c>
      <c r="S935" s="12"/>
      <c r="T935" s="12"/>
      <c r="U935" s="10" t="str">
        <f>HYPERLINK("https://pbs.twimg.com/profile_images/924658553121640448/v126-zQr.jpg","View")</f>
        <v>View</v>
      </c>
    </row>
    <row r="936" spans="1:21" ht="40.799999999999997">
      <c r="A936" s="6">
        <v>43425.895555555559</v>
      </c>
      <c r="B936" s="7" t="str">
        <f>HYPERLINK("https://twitter.com/elchigredefran","@elchigredefran")</f>
        <v>@elchigredefran</v>
      </c>
      <c r="C936" s="8" t="s">
        <v>4991</v>
      </c>
      <c r="D936" s="9" t="s">
        <v>4992</v>
      </c>
      <c r="E936" s="10" t="str">
        <f>HYPERLINK("https://twitter.com/elchigredefran/status/1065341481538543616","1065341481538543616")</f>
        <v>1065341481538543616</v>
      </c>
      <c r="F936" s="11" t="s">
        <v>4993</v>
      </c>
      <c r="G936" s="12"/>
      <c r="H936" s="12"/>
      <c r="I936" s="13">
        <v>0</v>
      </c>
      <c r="J936" s="13">
        <v>0</v>
      </c>
      <c r="K936" s="14" t="str">
        <f>HYPERLINK("http://www.facebook.com/twitter","Facebook")</f>
        <v>Facebook</v>
      </c>
      <c r="L936" s="13">
        <v>407</v>
      </c>
      <c r="M936" s="13">
        <v>323</v>
      </c>
      <c r="N936" s="13">
        <v>10</v>
      </c>
      <c r="O936" s="15"/>
      <c r="P936" s="6">
        <v>40282.867349537039</v>
      </c>
      <c r="Q936" s="16" t="s">
        <v>4996</v>
      </c>
      <c r="R936" s="17" t="s">
        <v>4997</v>
      </c>
      <c r="S936" s="11" t="s">
        <v>4998</v>
      </c>
      <c r="T936" s="12"/>
      <c r="U936" s="10" t="str">
        <f>HYPERLINK("https://pbs.twimg.com/profile_images/983755975504035841/LyeZFubq.jpg","View")</f>
        <v>View</v>
      </c>
    </row>
    <row r="937" spans="1:21" ht="61.2">
      <c r="A937" s="6">
        <v>43425.895370370374</v>
      </c>
      <c r="B937" s="7" t="str">
        <f>HYPERLINK("https://twitter.com/IgnacioSR3","@IgnacioSR3")</f>
        <v>@IgnacioSR3</v>
      </c>
      <c r="C937" s="8" t="s">
        <v>2391</v>
      </c>
      <c r="D937" s="9" t="s">
        <v>2392</v>
      </c>
      <c r="E937" s="10" t="str">
        <f>HYPERLINK("https://twitter.com/IgnacioSR3/status/1065341410520518656","1065341410520518656")</f>
        <v>1065341410520518656</v>
      </c>
      <c r="F937" s="12"/>
      <c r="G937" s="12"/>
      <c r="H937" s="12"/>
      <c r="I937" s="13">
        <v>0</v>
      </c>
      <c r="J937" s="13">
        <v>1</v>
      </c>
      <c r="K937" s="14" t="str">
        <f>HYPERLINK("http://twitter.com/download/iphone","Twitter for iPhone")</f>
        <v>Twitter for iPhone</v>
      </c>
      <c r="L937" s="13">
        <v>11</v>
      </c>
      <c r="M937" s="13">
        <v>25</v>
      </c>
      <c r="N937" s="13">
        <v>0</v>
      </c>
      <c r="O937" s="15"/>
      <c r="P937" s="6">
        <v>43424.468865740739</v>
      </c>
      <c r="Q937" s="16" t="s">
        <v>106</v>
      </c>
      <c r="R937" s="17" t="s">
        <v>2393</v>
      </c>
      <c r="S937" s="12"/>
      <c r="T937" s="12"/>
      <c r="U937" s="10" t="str">
        <f>HYPERLINK("https://pbs.twimg.com/profile_images/1065197352565309440/U599-zhJ.jpg","View")</f>
        <v>View</v>
      </c>
    </row>
    <row r="938" spans="1:21" ht="51">
      <c r="A938" s="6">
        <v>43425.895115740743</v>
      </c>
      <c r="B938" s="7" t="str">
        <f>HYPERLINK("https://twitter.com/Francis83365556","@Francis83365556")</f>
        <v>@Francis83365556</v>
      </c>
      <c r="C938" s="8" t="s">
        <v>2394</v>
      </c>
      <c r="D938" s="9" t="s">
        <v>2395</v>
      </c>
      <c r="E938" s="10" t="str">
        <f>HYPERLINK("https://twitter.com/Francis83365556/status/1065341321630617600","1065341321630617600")</f>
        <v>1065341321630617600</v>
      </c>
      <c r="F938" s="12"/>
      <c r="G938" s="12"/>
      <c r="H938" s="12"/>
      <c r="I938" s="13">
        <v>1</v>
      </c>
      <c r="J938" s="13">
        <v>3</v>
      </c>
      <c r="K938" s="14" t="str">
        <f>HYPERLINK("http://twitter.com/download/android","Twitter for Android")</f>
        <v>Twitter for Android</v>
      </c>
      <c r="L938" s="13">
        <v>977</v>
      </c>
      <c r="M938" s="13">
        <v>1064</v>
      </c>
      <c r="N938" s="13">
        <v>1</v>
      </c>
      <c r="O938" s="15"/>
      <c r="P938" s="6">
        <v>43050.648993055554</v>
      </c>
      <c r="Q938" s="12"/>
      <c r="R938" s="17" t="s">
        <v>2398</v>
      </c>
      <c r="S938" s="12"/>
      <c r="T938" s="12"/>
      <c r="U938" s="10" t="str">
        <f>HYPERLINK("https://pbs.twimg.com/profile_images/930529491692253186/f8387QRG.jpg","View")</f>
        <v>View</v>
      </c>
    </row>
    <row r="939" spans="1:21" ht="61.2">
      <c r="A939" s="6">
        <v>43425.894386574073</v>
      </c>
      <c r="B939" s="7" t="str">
        <f>HYPERLINK("https://twitter.com/semanal12","@semanal12")</f>
        <v>@semanal12</v>
      </c>
      <c r="C939" s="8" t="s">
        <v>2399</v>
      </c>
      <c r="D939" s="9" t="s">
        <v>2400</v>
      </c>
      <c r="E939" s="10" t="str">
        <f>HYPERLINK("https://twitter.com/semanal12/status/1065341054214262785","1065341054214262785")</f>
        <v>1065341054214262785</v>
      </c>
      <c r="F939" s="16" t="s">
        <v>2401</v>
      </c>
      <c r="G939" s="12"/>
      <c r="H939" s="12"/>
      <c r="I939" s="13">
        <v>1</v>
      </c>
      <c r="J939" s="13">
        <v>0</v>
      </c>
      <c r="K939" s="14" t="str">
        <f>HYPERLINK("http://twitter.com/download/iphone","Twitter for iPhone")</f>
        <v>Twitter for iPhone</v>
      </c>
      <c r="L939" s="13">
        <v>80</v>
      </c>
      <c r="M939" s="13">
        <v>305</v>
      </c>
      <c r="N939" s="13">
        <v>8</v>
      </c>
      <c r="O939" s="15"/>
      <c r="P939" s="6">
        <v>41069.918078703704</v>
      </c>
      <c r="Q939" s="12"/>
      <c r="R939" s="19"/>
      <c r="S939" s="12"/>
      <c r="T939" s="12"/>
      <c r="U939" s="10" t="str">
        <f>HYPERLINK("https://pbs.twimg.com/profile_images/2311225642/r3xjxi7nsu3ge6ilk0jq.jpeg","View")</f>
        <v>View</v>
      </c>
    </row>
    <row r="940" spans="1:21" ht="40.799999999999997">
      <c r="A940" s="6">
        <v>43425.892847222218</v>
      </c>
      <c r="B940" s="7" t="str">
        <f>HYPERLINK("https://twitter.com/bcn2day","@bcn2day")</f>
        <v>@bcn2day</v>
      </c>
      <c r="C940" s="8" t="s">
        <v>5004</v>
      </c>
      <c r="D940" s="9" t="s">
        <v>5005</v>
      </c>
      <c r="E940" s="10" t="str">
        <f>HYPERLINK("https://twitter.com/bcn2day/status/1065340499823874048","1065340499823874048")</f>
        <v>1065340499823874048</v>
      </c>
      <c r="F940" s="11" t="s">
        <v>5006</v>
      </c>
      <c r="G940" s="12"/>
      <c r="H940" s="12"/>
      <c r="I940" s="13">
        <v>0</v>
      </c>
      <c r="J940" s="13">
        <v>0</v>
      </c>
      <c r="K940" s="14" t="str">
        <f>HYPERLINK("http://www.facebook.com/twitter","Facebook")</f>
        <v>Facebook</v>
      </c>
      <c r="L940" s="13">
        <v>60</v>
      </c>
      <c r="M940" s="13">
        <v>10</v>
      </c>
      <c r="N940" s="13">
        <v>1</v>
      </c>
      <c r="O940" s="15"/>
      <c r="P940" s="6">
        <v>42264.120567129634</v>
      </c>
      <c r="Q940" s="12"/>
      <c r="R940" s="19"/>
      <c r="S940" s="12"/>
      <c r="T940" s="12"/>
      <c r="U940" s="10" t="str">
        <f>HYPERLINK("https://pbs.twimg.com/profile_images/644504700356816896/LMbKA-C7.jpg","View")</f>
        <v>View</v>
      </c>
    </row>
    <row r="941" spans="1:21" ht="30.6">
      <c r="A941" s="6">
        <v>43425.892048611116</v>
      </c>
      <c r="B941" s="7" t="str">
        <f>HYPERLINK("https://twitter.com/Veronicfm","@Veronicfm")</f>
        <v>@Veronicfm</v>
      </c>
      <c r="C941" s="8" t="s">
        <v>2404</v>
      </c>
      <c r="D941" s="9" t="s">
        <v>2405</v>
      </c>
      <c r="E941" s="10" t="str">
        <f>HYPERLINK("https://twitter.com/Veronicfm/status/1065340209523503104","1065340209523503104")</f>
        <v>1065340209523503104</v>
      </c>
      <c r="F941" s="12"/>
      <c r="G941" s="12"/>
      <c r="H941" s="12"/>
      <c r="I941" s="13">
        <v>2</v>
      </c>
      <c r="J941" s="13">
        <v>2</v>
      </c>
      <c r="K941" s="14" t="str">
        <f>HYPERLINK("http://twitter.com/download/android","Twitter for Android")</f>
        <v>Twitter for Android</v>
      </c>
      <c r="L941" s="13">
        <v>57</v>
      </c>
      <c r="M941" s="13">
        <v>121</v>
      </c>
      <c r="N941" s="13">
        <v>4</v>
      </c>
      <c r="O941" s="15"/>
      <c r="P941" s="6">
        <v>40915.926064814819</v>
      </c>
      <c r="Q941" s="16" t="s">
        <v>2406</v>
      </c>
      <c r="R941" s="19"/>
      <c r="S941" s="12"/>
      <c r="T941" s="12"/>
      <c r="U941" s="10" t="str">
        <f>HYPERLINK("https://pbs.twimg.com/profile_images/934560747329290241/3b8k7v9s.jpg","View")</f>
        <v>View</v>
      </c>
    </row>
    <row r="942" spans="1:21" ht="20.399999999999999">
      <c r="A942" s="6">
        <v>43425.891076388885</v>
      </c>
      <c r="B942" s="7" t="str">
        <f>HYPERLINK("https://twitter.com/taoista56","@taoista56")</f>
        <v>@taoista56</v>
      </c>
      <c r="C942" s="8" t="s">
        <v>1696</v>
      </c>
      <c r="D942" s="9" t="s">
        <v>1503</v>
      </c>
      <c r="E942" s="10" t="str">
        <f>HYPERLINK("https://twitter.com/taoista56/status/1065339856610570241","1065339856610570241")</f>
        <v>1065339856610570241</v>
      </c>
      <c r="F942" s="11" t="s">
        <v>1504</v>
      </c>
      <c r="G942" s="12"/>
      <c r="H942" s="12"/>
      <c r="I942" s="13">
        <v>0</v>
      </c>
      <c r="J942" s="13">
        <v>0</v>
      </c>
      <c r="K942" s="14" t="str">
        <f>HYPERLINK("http://twitter.com","Twitter Web Client")</f>
        <v>Twitter Web Client</v>
      </c>
      <c r="L942" s="13">
        <v>579</v>
      </c>
      <c r="M942" s="13">
        <v>1914</v>
      </c>
      <c r="N942" s="13">
        <v>6</v>
      </c>
      <c r="O942" s="15"/>
      <c r="P942" s="6">
        <v>40819.876863425925</v>
      </c>
      <c r="Q942" s="16" t="s">
        <v>1701</v>
      </c>
      <c r="R942" s="19"/>
      <c r="S942" s="12"/>
      <c r="T942" s="12"/>
      <c r="U942" s="10" t="str">
        <f>HYPERLINK("https://pbs.twimg.com/profile_images/694232062031740928/1tub_Vsu.png","View")</f>
        <v>View</v>
      </c>
    </row>
    <row r="943" spans="1:21" ht="51">
      <c r="A943" s="6">
        <v>43425.889444444445</v>
      </c>
      <c r="B943" s="7" t="str">
        <f>HYPERLINK("https://twitter.com/gonzalocampa","@gonzalocampa")</f>
        <v>@gonzalocampa</v>
      </c>
      <c r="C943" s="8" t="s">
        <v>2409</v>
      </c>
      <c r="D943" s="9" t="s">
        <v>2410</v>
      </c>
      <c r="E943" s="10" t="str">
        <f>HYPERLINK("https://twitter.com/gonzalocampa/status/1065339263200440322","1065339263200440322")</f>
        <v>1065339263200440322</v>
      </c>
      <c r="F943" s="11" t="s">
        <v>2414</v>
      </c>
      <c r="G943" s="12"/>
      <c r="H943" s="12"/>
      <c r="I943" s="13">
        <v>2</v>
      </c>
      <c r="J943" s="13">
        <v>4</v>
      </c>
      <c r="K943" s="14" t="str">
        <f t="shared" ref="K943:K944" si="195">HYPERLINK("http://twitter.com/download/android","Twitter for Android")</f>
        <v>Twitter for Android</v>
      </c>
      <c r="L943" s="13">
        <v>311</v>
      </c>
      <c r="M943" s="13">
        <v>208</v>
      </c>
      <c r="N943" s="13">
        <v>15</v>
      </c>
      <c r="O943" s="15"/>
      <c r="P943" s="6">
        <v>40081.538518518515</v>
      </c>
      <c r="Q943" s="16" t="s">
        <v>496</v>
      </c>
      <c r="R943" s="17" t="s">
        <v>2415</v>
      </c>
      <c r="S943" s="11" t="s">
        <v>2416</v>
      </c>
      <c r="T943" s="12"/>
      <c r="U943" s="10" t="str">
        <f>HYPERLINK("https://pbs.twimg.com/profile_images/971699953578991616/VCuYJU-T.jpg","View")</f>
        <v>View</v>
      </c>
    </row>
    <row r="944" spans="1:21" ht="30.6">
      <c r="A944" s="6">
        <v>43425.888969907406</v>
      </c>
      <c r="B944" s="7" t="str">
        <f>HYPERLINK("https://twitter.com/tonete_83","@tonete_83")</f>
        <v>@tonete_83</v>
      </c>
      <c r="C944" s="8" t="s">
        <v>2418</v>
      </c>
      <c r="D944" s="9" t="s">
        <v>2419</v>
      </c>
      <c r="E944" s="10" t="str">
        <f>HYPERLINK("https://twitter.com/tonete_83/status/1065339094782435329","1065339094782435329")</f>
        <v>1065339094782435329</v>
      </c>
      <c r="F944" s="12"/>
      <c r="G944" s="12"/>
      <c r="H944" s="12"/>
      <c r="I944" s="13">
        <v>0</v>
      </c>
      <c r="J944" s="13">
        <v>0</v>
      </c>
      <c r="K944" s="14" t="str">
        <f t="shared" si="195"/>
        <v>Twitter for Android</v>
      </c>
      <c r="L944" s="13">
        <v>176</v>
      </c>
      <c r="M944" s="13">
        <v>93</v>
      </c>
      <c r="N944" s="13">
        <v>1</v>
      </c>
      <c r="O944" s="15"/>
      <c r="P944" s="6">
        <v>40181.830057870371</v>
      </c>
      <c r="Q944" s="16" t="s">
        <v>2422</v>
      </c>
      <c r="R944" s="17" t="s">
        <v>2423</v>
      </c>
      <c r="S944" s="12"/>
      <c r="T944" s="12"/>
      <c r="U944" s="10" t="str">
        <f>HYPERLINK("https://pbs.twimg.com/profile_images/657283229611855872/oFjVWhRu.jpg","View")</f>
        <v>View</v>
      </c>
    </row>
    <row r="945" spans="1:21" ht="91.8">
      <c r="A945" s="6">
        <v>43425.888645833329</v>
      </c>
      <c r="B945" s="7" t="str">
        <f>HYPERLINK("https://twitter.com/AdanEsmit","@AdanEsmit")</f>
        <v>@AdanEsmit</v>
      </c>
      <c r="C945" s="8" t="s">
        <v>2426</v>
      </c>
      <c r="D945" s="9" t="s">
        <v>2427</v>
      </c>
      <c r="E945" s="10" t="str">
        <f>HYPERLINK("https://twitter.com/AdanEsmit/status/1065338974728794117","1065338974728794117")</f>
        <v>1065338974728794117</v>
      </c>
      <c r="F945" s="16" t="s">
        <v>2428</v>
      </c>
      <c r="G945" s="11" t="s">
        <v>2429</v>
      </c>
      <c r="H945" s="12"/>
      <c r="I945" s="13">
        <v>0</v>
      </c>
      <c r="J945" s="13">
        <v>0</v>
      </c>
      <c r="K945" s="14" t="str">
        <f>HYPERLINK("http://twitter.com","Twitter Web Client")</f>
        <v>Twitter Web Client</v>
      </c>
      <c r="L945" s="13">
        <v>2118</v>
      </c>
      <c r="M945" s="13">
        <v>614</v>
      </c>
      <c r="N945" s="13">
        <v>53</v>
      </c>
      <c r="O945" s="15"/>
      <c r="P945" s="6">
        <v>40419.805937500001</v>
      </c>
      <c r="Q945" s="16" t="s">
        <v>2431</v>
      </c>
      <c r="R945" s="17" t="s">
        <v>2432</v>
      </c>
      <c r="S945" s="11" t="s">
        <v>2433</v>
      </c>
      <c r="T945" s="12"/>
      <c r="U945" s="10" t="str">
        <f>HYPERLINK("https://pbs.twimg.com/profile_images/1050368398893477889/K4vZp_8d.jpg","View")</f>
        <v>View</v>
      </c>
    </row>
    <row r="946" spans="1:21" ht="51">
      <c r="A946" s="6">
        <v>43425.888009259259</v>
      </c>
      <c r="B946" s="7" t="str">
        <f>HYPERLINK("https://twitter.com/tonete_83","@tonete_83")</f>
        <v>@tonete_83</v>
      </c>
      <c r="C946" s="8" t="s">
        <v>2418</v>
      </c>
      <c r="D946" s="9" t="s">
        <v>2436</v>
      </c>
      <c r="E946" s="10" t="str">
        <f>HYPERLINK("https://twitter.com/tonete_83/status/1065338746286022657","1065338746286022657")</f>
        <v>1065338746286022657</v>
      </c>
      <c r="F946" s="12"/>
      <c r="G946" s="12"/>
      <c r="H946" s="12"/>
      <c r="I946" s="13">
        <v>0</v>
      </c>
      <c r="J946" s="13">
        <v>1</v>
      </c>
      <c r="K946" s="14" t="str">
        <f>HYPERLINK("http://twitter.com/download/android","Twitter for Android")</f>
        <v>Twitter for Android</v>
      </c>
      <c r="L946" s="13">
        <v>176</v>
      </c>
      <c r="M946" s="13">
        <v>93</v>
      </c>
      <c r="N946" s="13">
        <v>1</v>
      </c>
      <c r="O946" s="15"/>
      <c r="P946" s="6">
        <v>40181.830057870371</v>
      </c>
      <c r="Q946" s="16" t="s">
        <v>2422</v>
      </c>
      <c r="R946" s="17" t="s">
        <v>2423</v>
      </c>
      <c r="S946" s="12"/>
      <c r="T946" s="12"/>
      <c r="U946" s="10" t="str">
        <f>HYPERLINK("https://pbs.twimg.com/profile_images/657283229611855872/oFjVWhRu.jpg","View")</f>
        <v>View</v>
      </c>
    </row>
    <row r="947" spans="1:21" ht="20.399999999999999">
      <c r="A947" s="6">
        <v>43425.887673611112</v>
      </c>
      <c r="B947" s="7" t="str">
        <f>HYPERLINK("https://twitter.com/paularamine","@paularamine")</f>
        <v>@paularamine</v>
      </c>
      <c r="C947" s="8" t="s">
        <v>5015</v>
      </c>
      <c r="D947" s="9" t="s">
        <v>5016</v>
      </c>
      <c r="E947" s="10" t="str">
        <f>HYPERLINK("https://twitter.com/paularamine/status/1065338622679965696","1065338622679965696")</f>
        <v>1065338622679965696</v>
      </c>
      <c r="F947" s="12"/>
      <c r="G947" s="12"/>
      <c r="H947" s="12"/>
      <c r="I947" s="13">
        <v>0</v>
      </c>
      <c r="J947" s="13">
        <v>0</v>
      </c>
      <c r="K947" s="14" t="str">
        <f>HYPERLINK("http://twitter.com/download/iphone","Twitter for iPhone")</f>
        <v>Twitter for iPhone</v>
      </c>
      <c r="L947" s="13">
        <v>296</v>
      </c>
      <c r="M947" s="13">
        <v>126</v>
      </c>
      <c r="N947" s="13">
        <v>4</v>
      </c>
      <c r="O947" s="15"/>
      <c r="P947" s="6">
        <v>43045.014293981483</v>
      </c>
      <c r="Q947" s="16" t="s">
        <v>5017</v>
      </c>
      <c r="R947" s="17" t="s">
        <v>5018</v>
      </c>
      <c r="S947" s="12"/>
      <c r="T947" s="12"/>
      <c r="U947" s="10" t="str">
        <f>HYPERLINK("https://pbs.twimg.com/profile_images/1065769739321032706/5Xb3Ny-e.jpg","View")</f>
        <v>View</v>
      </c>
    </row>
    <row r="948" spans="1:21" ht="20.399999999999999">
      <c r="A948" s="6">
        <v>43425.887453703705</v>
      </c>
      <c r="B948" s="7" t="str">
        <f>HYPERLINK("https://twitter.com/Herrero1946Jose","@Herrero1946Jose")</f>
        <v>@Herrero1946Jose</v>
      </c>
      <c r="C948" s="8" t="s">
        <v>5019</v>
      </c>
      <c r="D948" s="9" t="s">
        <v>1503</v>
      </c>
      <c r="E948" s="10" t="str">
        <f>HYPERLINK("https://twitter.com/Herrero1946Jose/status/1065338541939539969","1065338541939539969")</f>
        <v>1065338541939539969</v>
      </c>
      <c r="F948" s="11" t="s">
        <v>4036</v>
      </c>
      <c r="G948" s="12"/>
      <c r="H948" s="12"/>
      <c r="I948" s="13">
        <v>0</v>
      </c>
      <c r="J948" s="13">
        <v>0</v>
      </c>
      <c r="K948" s="14" t="str">
        <f>HYPERLINK("http://twitter.com/download/android","Twitter for Android")</f>
        <v>Twitter for Android</v>
      </c>
      <c r="L948" s="13">
        <v>1575</v>
      </c>
      <c r="M948" s="13">
        <v>1566</v>
      </c>
      <c r="N948" s="13">
        <v>14</v>
      </c>
      <c r="O948" s="15"/>
      <c r="P948" s="6">
        <v>41692.788263888891</v>
      </c>
      <c r="Q948" s="16" t="s">
        <v>5020</v>
      </c>
      <c r="R948" s="17" t="s">
        <v>5021</v>
      </c>
      <c r="S948" s="12"/>
      <c r="T948" s="12"/>
      <c r="U948" s="10" t="str">
        <f>HYPERLINK("https://pbs.twimg.com/profile_images/660217709758701568/G2Wjj43D.jpg","View")</f>
        <v>View</v>
      </c>
    </row>
    <row r="949" spans="1:21" ht="51">
      <c r="A949" s="6">
        <v>43425.887280092589</v>
      </c>
      <c r="B949" s="7" t="str">
        <f>HYPERLINK("https://twitter.com/castillo_albert","@castillo_albert")</f>
        <v>@castillo_albert</v>
      </c>
      <c r="C949" s="8" t="s">
        <v>2440</v>
      </c>
      <c r="D949" s="9" t="s">
        <v>2441</v>
      </c>
      <c r="E949" s="10" t="str">
        <f>HYPERLINK("https://twitter.com/castillo_albert/status/1065338482388811777","1065338482388811777")</f>
        <v>1065338482388811777</v>
      </c>
      <c r="F949" s="12"/>
      <c r="G949" s="12"/>
      <c r="H949" s="12"/>
      <c r="I949" s="13">
        <v>1</v>
      </c>
      <c r="J949" s="13">
        <v>7</v>
      </c>
      <c r="K949" s="14" t="str">
        <f>HYPERLINK("http://twitter.com/download/iphone","Twitter for iPhone")</f>
        <v>Twitter for iPhone</v>
      </c>
      <c r="L949" s="13">
        <v>6686</v>
      </c>
      <c r="M949" s="13">
        <v>1826</v>
      </c>
      <c r="N949" s="13">
        <v>151</v>
      </c>
      <c r="O949" s="15"/>
      <c r="P949" s="6">
        <v>40596.52138888889</v>
      </c>
      <c r="Q949" s="16" t="s">
        <v>1796</v>
      </c>
      <c r="R949" s="17" t="s">
        <v>2442</v>
      </c>
      <c r="S949" s="11" t="s">
        <v>2443</v>
      </c>
      <c r="T949" s="12"/>
      <c r="U949" s="10" t="str">
        <f>HYPERLINK("https://pbs.twimg.com/profile_images/947079326674980869/f-g4pE0j.jpg","View")</f>
        <v>View</v>
      </c>
    </row>
    <row r="950" spans="1:21" ht="30.6">
      <c r="A950" s="6">
        <v>43425.887233796297</v>
      </c>
      <c r="B950" s="7" t="str">
        <f>HYPERLINK("https://twitter.com/bechoch","@bechoch")</f>
        <v>@bechoch</v>
      </c>
      <c r="C950" s="8" t="s">
        <v>2444</v>
      </c>
      <c r="D950" s="9" t="s">
        <v>2445</v>
      </c>
      <c r="E950" s="10" t="str">
        <f>HYPERLINK("https://twitter.com/bechoch/status/1065338463350865920","1065338463350865920")</f>
        <v>1065338463350865920</v>
      </c>
      <c r="F950" s="12"/>
      <c r="G950" s="12"/>
      <c r="H950" s="12"/>
      <c r="I950" s="13">
        <v>1</v>
      </c>
      <c r="J950" s="13">
        <v>5</v>
      </c>
      <c r="K950" s="14" t="str">
        <f>HYPERLINK("http://twitter.com/download/android","Twitter for Android")</f>
        <v>Twitter for Android</v>
      </c>
      <c r="L950" s="13">
        <v>1542</v>
      </c>
      <c r="M950" s="13">
        <v>1494</v>
      </c>
      <c r="N950" s="13">
        <v>33</v>
      </c>
      <c r="O950" s="15"/>
      <c r="P950" s="6">
        <v>41395.532870370371</v>
      </c>
      <c r="Q950" s="12"/>
      <c r="R950" s="17" t="s">
        <v>2446</v>
      </c>
      <c r="S950" s="12"/>
      <c r="T950" s="12"/>
      <c r="U950" s="10" t="str">
        <f>HYPERLINK("https://pbs.twimg.com/profile_images/898575706136989697/2lWLxVVC.jpg","View")</f>
        <v>View</v>
      </c>
    </row>
    <row r="951" spans="1:21" ht="20.399999999999999">
      <c r="A951" s="6">
        <v>43425.88680555555</v>
      </c>
      <c r="B951" s="7" t="str">
        <f>HYPERLINK("https://twitter.com/luigigalante","@luigigalante")</f>
        <v>@luigigalante</v>
      </c>
      <c r="C951" s="8" t="s">
        <v>5030</v>
      </c>
      <c r="D951" s="9" t="s">
        <v>1503</v>
      </c>
      <c r="E951" s="10" t="str">
        <f>HYPERLINK("https://twitter.com/luigigalante/status/1065338307863855111","1065338307863855111")</f>
        <v>1065338307863855111</v>
      </c>
      <c r="F951" s="11" t="s">
        <v>1504</v>
      </c>
      <c r="G951" s="12"/>
      <c r="H951" s="12"/>
      <c r="I951" s="13">
        <v>0</v>
      </c>
      <c r="J951" s="13">
        <v>0</v>
      </c>
      <c r="K951" s="14" t="str">
        <f>HYPERLINK("http://twitter.com","Twitter Web Client")</f>
        <v>Twitter Web Client</v>
      </c>
      <c r="L951" s="13">
        <v>148</v>
      </c>
      <c r="M951" s="13">
        <v>221</v>
      </c>
      <c r="N951" s="13">
        <v>7</v>
      </c>
      <c r="O951" s="15"/>
      <c r="P951" s="6">
        <v>41220.699016203704</v>
      </c>
      <c r="Q951" s="12"/>
      <c r="R951" s="17" t="s">
        <v>5032</v>
      </c>
      <c r="S951" s="12"/>
      <c r="T951" s="12"/>
      <c r="U951" s="10" t="str">
        <f>HYPERLINK("https://pbs.twimg.com/profile_images/1001480539726073858/kzBUQq2B.jpg","View")</f>
        <v>View</v>
      </c>
    </row>
    <row r="952" spans="1:21" ht="20.399999999999999">
      <c r="A952" s="6">
        <v>43425.886249999996</v>
      </c>
      <c r="B952" s="7" t="str">
        <f>HYPERLINK("https://twitter.com/CiudadanoKane11","@CiudadanoKane11")</f>
        <v>@CiudadanoKane11</v>
      </c>
      <c r="C952" s="8" t="s">
        <v>1705</v>
      </c>
      <c r="D952" s="9" t="s">
        <v>5033</v>
      </c>
      <c r="E952" s="10" t="str">
        <f>HYPERLINK("https://twitter.com/CiudadanoKane11/status/1065338106633691136","1065338106633691136")</f>
        <v>1065338106633691136</v>
      </c>
      <c r="F952" s="11" t="s">
        <v>5034</v>
      </c>
      <c r="G952" s="12"/>
      <c r="H952" s="12"/>
      <c r="I952" s="13">
        <v>0</v>
      </c>
      <c r="J952" s="13">
        <v>0</v>
      </c>
      <c r="K952" s="14" t="str">
        <f>HYPERLINK("https://paper.li","Paper.li")</f>
        <v>Paper.li</v>
      </c>
      <c r="L952" s="13">
        <v>45</v>
      </c>
      <c r="M952" s="13">
        <v>88</v>
      </c>
      <c r="N952" s="13">
        <v>0</v>
      </c>
      <c r="O952" s="15"/>
      <c r="P952" s="6">
        <v>43202.993217592593</v>
      </c>
      <c r="Q952" s="16" t="s">
        <v>37</v>
      </c>
      <c r="R952" s="19"/>
      <c r="S952" s="12"/>
      <c r="T952" s="12"/>
      <c r="U952" s="10" t="str">
        <f>HYPERLINK("https://pbs.twimg.com/profile_images/984553555905400832/B5Gpg7hf.jpg","View")</f>
        <v>View</v>
      </c>
    </row>
    <row r="953" spans="1:21" ht="51">
      <c r="A953" s="6">
        <v>43425.886030092588</v>
      </c>
      <c r="B953" s="7" t="str">
        <f>HYPERLINK("https://twitter.com/AgustnMilln","@AgustnMilln")</f>
        <v>@AgustnMilln</v>
      </c>
      <c r="C953" s="8" t="s">
        <v>2447</v>
      </c>
      <c r="D953" s="9" t="s">
        <v>2448</v>
      </c>
      <c r="E953" s="10" t="str">
        <f>HYPERLINK("https://twitter.com/AgustnMilln/status/1065338028653256706","1065338028653256706")</f>
        <v>1065338028653256706</v>
      </c>
      <c r="F953" s="11" t="s">
        <v>2449</v>
      </c>
      <c r="G953" s="11" t="s">
        <v>2450</v>
      </c>
      <c r="H953" s="12"/>
      <c r="I953" s="13">
        <v>0</v>
      </c>
      <c r="J953" s="13">
        <v>0</v>
      </c>
      <c r="K953" s="14" t="str">
        <f t="shared" ref="K953:K957" si="196">HYPERLINK("http://twitter.com/#!/download/ipad","Twitter for iPad")</f>
        <v>Twitter for iPad</v>
      </c>
      <c r="L953" s="13">
        <v>4928</v>
      </c>
      <c r="M953" s="13">
        <v>5258</v>
      </c>
      <c r="N953" s="13">
        <v>96</v>
      </c>
      <c r="O953" s="15"/>
      <c r="P953" s="6">
        <v>40780.518923611111</v>
      </c>
      <c r="Q953" s="16" t="s">
        <v>106</v>
      </c>
      <c r="R953" s="17" t="s">
        <v>2452</v>
      </c>
      <c r="S953" s="11" t="s">
        <v>2453</v>
      </c>
      <c r="T953" s="12"/>
      <c r="U953" s="10" t="str">
        <f>HYPERLINK("https://pbs.twimg.com/profile_images/618075164304089088/to67Qqx9.jpg","View")</f>
        <v>View</v>
      </c>
    </row>
    <row r="954" spans="1:21" ht="51">
      <c r="A954" s="6">
        <v>43425.885914351849</v>
      </c>
      <c r="B954" s="7" t="str">
        <f>HYPERLINK("https://twitter.com/ilusiones_cajas","@ilusiones_cajas")</f>
        <v>@ilusiones_cajas</v>
      </c>
      <c r="C954" s="8" t="s">
        <v>2454</v>
      </c>
      <c r="D954" s="9" t="s">
        <v>2448</v>
      </c>
      <c r="E954" s="10" t="str">
        <f>HYPERLINK("https://twitter.com/ilusiones_cajas/status/1065337984831156225","1065337984831156225")</f>
        <v>1065337984831156225</v>
      </c>
      <c r="F954" s="11" t="s">
        <v>2449</v>
      </c>
      <c r="G954" s="12"/>
      <c r="H954" s="12"/>
      <c r="I954" s="13">
        <v>0</v>
      </c>
      <c r="J954" s="13">
        <v>0</v>
      </c>
      <c r="K954" s="14" t="str">
        <f t="shared" si="196"/>
        <v>Twitter for iPad</v>
      </c>
      <c r="L954" s="13">
        <v>270</v>
      </c>
      <c r="M954" s="13">
        <v>1086</v>
      </c>
      <c r="N954" s="13">
        <v>1</v>
      </c>
      <c r="O954" s="15"/>
      <c r="P954" s="6">
        <v>42569.945798611108</v>
      </c>
      <c r="Q954" s="16" t="s">
        <v>106</v>
      </c>
      <c r="R954" s="17" t="s">
        <v>2457</v>
      </c>
      <c r="S954" s="12"/>
      <c r="T954" s="12"/>
      <c r="U954" s="10" t="str">
        <f>HYPERLINK("https://pbs.twimg.com/profile_images/834150138587316229/hDhl4J57.jpg","View")</f>
        <v>View</v>
      </c>
    </row>
    <row r="955" spans="1:21" ht="51">
      <c r="A955" s="6">
        <v>43425.885833333334</v>
      </c>
      <c r="B955" s="7" t="str">
        <f>HYPERLINK("https://twitter.com/SocialcumbreS","@SocialcumbreS")</f>
        <v>@SocialcumbreS</v>
      </c>
      <c r="C955" s="8" t="s">
        <v>2458</v>
      </c>
      <c r="D955" s="9" t="s">
        <v>2448</v>
      </c>
      <c r="E955" s="10" t="str">
        <f>HYPERLINK("https://twitter.com/SocialcumbreS/status/1065337955915583488","1065337955915583488")</f>
        <v>1065337955915583488</v>
      </c>
      <c r="F955" s="11" t="s">
        <v>2449</v>
      </c>
      <c r="G955" s="12"/>
      <c r="H955" s="12"/>
      <c r="I955" s="13">
        <v>0</v>
      </c>
      <c r="J955" s="13">
        <v>0</v>
      </c>
      <c r="K955" s="14" t="str">
        <f t="shared" si="196"/>
        <v>Twitter for iPad</v>
      </c>
      <c r="L955" s="13">
        <v>19060</v>
      </c>
      <c r="M955" s="13">
        <v>1152</v>
      </c>
      <c r="N955" s="13">
        <v>478</v>
      </c>
      <c r="O955" s="15"/>
      <c r="P955" s="6">
        <v>41117.882881944446</v>
      </c>
      <c r="Q955" s="16" t="s">
        <v>37</v>
      </c>
      <c r="R955" s="17" t="s">
        <v>2460</v>
      </c>
      <c r="S955" s="11" t="s">
        <v>2461</v>
      </c>
      <c r="T955" s="12"/>
      <c r="U955" s="10" t="str">
        <f>HYPERLINK("https://pbs.twimg.com/profile_images/1022038043203657728/GCN0OQBY.jpg","View")</f>
        <v>View</v>
      </c>
    </row>
    <row r="956" spans="1:21" ht="51">
      <c r="A956" s="6">
        <v>43425.885775462964</v>
      </c>
      <c r="B956" s="7" t="str">
        <f>HYPERLINK("https://twitter.com/lagatadelsur","@lagatadelsur")</f>
        <v>@lagatadelsur</v>
      </c>
      <c r="C956" s="8" t="s">
        <v>2464</v>
      </c>
      <c r="D956" s="9" t="s">
        <v>2448</v>
      </c>
      <c r="E956" s="10" t="str">
        <f>HYPERLINK("https://twitter.com/lagatadelsur/status/1065337933673181186","1065337933673181186")</f>
        <v>1065337933673181186</v>
      </c>
      <c r="F956" s="11" t="s">
        <v>2449</v>
      </c>
      <c r="G956" s="12"/>
      <c r="H956" s="12"/>
      <c r="I956" s="13">
        <v>0</v>
      </c>
      <c r="J956" s="13">
        <v>0</v>
      </c>
      <c r="K956" s="14" t="str">
        <f t="shared" si="196"/>
        <v>Twitter for iPad</v>
      </c>
      <c r="L956" s="13">
        <v>1109</v>
      </c>
      <c r="M956" s="13">
        <v>2493</v>
      </c>
      <c r="N956" s="13">
        <v>18</v>
      </c>
      <c r="O956" s="15"/>
      <c r="P956" s="6">
        <v>40740.983784722222</v>
      </c>
      <c r="Q956" s="16" t="s">
        <v>37</v>
      </c>
      <c r="R956" s="17" t="s">
        <v>2466</v>
      </c>
      <c r="S956" s="12"/>
      <c r="T956" s="12"/>
      <c r="U956" s="10" t="str">
        <f>HYPERLINK("https://pbs.twimg.com/profile_images/529002341198868482/XP035WXv.jpeg","View")</f>
        <v>View</v>
      </c>
    </row>
    <row r="957" spans="1:21" ht="51">
      <c r="A957" s="6">
        <v>43425.885335648149</v>
      </c>
      <c r="B957" s="7" t="str">
        <f>HYPERLINK("https://twitter.com/Diario_16","@Diario_16")</f>
        <v>@Diario_16</v>
      </c>
      <c r="C957" s="8" t="s">
        <v>2467</v>
      </c>
      <c r="D957" s="9" t="s">
        <v>2448</v>
      </c>
      <c r="E957" s="10" t="str">
        <f>HYPERLINK("https://twitter.com/Diario_16/status/1065337776936243205","1065337776936243205")</f>
        <v>1065337776936243205</v>
      </c>
      <c r="F957" s="11" t="s">
        <v>2449</v>
      </c>
      <c r="G957" s="11" t="s">
        <v>2429</v>
      </c>
      <c r="H957" s="12"/>
      <c r="I957" s="13">
        <v>5</v>
      </c>
      <c r="J957" s="13">
        <v>1</v>
      </c>
      <c r="K957" s="14" t="str">
        <f t="shared" si="196"/>
        <v>Twitter for iPad</v>
      </c>
      <c r="L957" s="13">
        <v>20953</v>
      </c>
      <c r="M957" s="13">
        <v>1036</v>
      </c>
      <c r="N957" s="13">
        <v>473</v>
      </c>
      <c r="O957" s="15"/>
      <c r="P957" s="6">
        <v>42341.864768518513</v>
      </c>
      <c r="Q957" s="12"/>
      <c r="R957" s="17" t="s">
        <v>2468</v>
      </c>
      <c r="S957" s="11" t="s">
        <v>2469</v>
      </c>
      <c r="T957" s="12"/>
      <c r="U957" s="10" t="str">
        <f>HYPERLINK("https://pbs.twimg.com/profile_images/900024873275281409/nuXA921H.jpg","View")</f>
        <v>View</v>
      </c>
    </row>
    <row r="958" spans="1:21" ht="40.799999999999997">
      <c r="A958" s="6">
        <v>43425.882187499999</v>
      </c>
      <c r="B958" s="7" t="str">
        <f>HYPERLINK("https://twitter.com/Migueltroi20","@Migueltroi20")</f>
        <v>@Migueltroi20</v>
      </c>
      <c r="C958" s="8" t="s">
        <v>1240</v>
      </c>
      <c r="D958" s="9" t="s">
        <v>5050</v>
      </c>
      <c r="E958" s="10" t="str">
        <f>HYPERLINK("https://twitter.com/Migueltroi20/status/1065336636538535936","1065336636538535936")</f>
        <v>1065336636538535936</v>
      </c>
      <c r="F958" s="16" t="s">
        <v>5051</v>
      </c>
      <c r="G958" s="12"/>
      <c r="H958" s="12"/>
      <c r="I958" s="13">
        <v>0</v>
      </c>
      <c r="J958" s="13">
        <v>1</v>
      </c>
      <c r="K958" s="14" t="str">
        <f>HYPERLINK("http://twitter.com/download/android","Twitter for Android")</f>
        <v>Twitter for Android</v>
      </c>
      <c r="L958" s="13">
        <v>308</v>
      </c>
      <c r="M958" s="13">
        <v>490</v>
      </c>
      <c r="N958" s="13">
        <v>0</v>
      </c>
      <c r="O958" s="15"/>
      <c r="P958" s="6">
        <v>41136.701527777775</v>
      </c>
      <c r="Q958" s="16" t="s">
        <v>1244</v>
      </c>
      <c r="R958" s="17" t="s">
        <v>1245</v>
      </c>
      <c r="S958" s="12"/>
      <c r="T958" s="12"/>
      <c r="U958" s="10" t="str">
        <f>HYPERLINK("https://pbs.twimg.com/profile_images/1055003566862143489/G7i22UBl.jpg","View")</f>
        <v>View</v>
      </c>
    </row>
    <row r="959" spans="1:21" ht="71.400000000000006">
      <c r="A959" s="6">
        <v>43425.87981481482</v>
      </c>
      <c r="B959" s="7" t="str">
        <f>HYPERLINK("https://twitter.com/AlexOchoaGarcia","@AlexOchoaGarcia")</f>
        <v>@AlexOchoaGarcia</v>
      </c>
      <c r="C959" s="8" t="s">
        <v>2470</v>
      </c>
      <c r="D959" s="9" t="s">
        <v>2471</v>
      </c>
      <c r="E959" s="10" t="str">
        <f>HYPERLINK("https://twitter.com/AlexOchoaGarcia/status/1065335775653478400","1065335775653478400")</f>
        <v>1065335775653478400</v>
      </c>
      <c r="F959" s="16" t="s">
        <v>594</v>
      </c>
      <c r="G959" s="12"/>
      <c r="H959" s="12"/>
      <c r="I959" s="13">
        <v>0</v>
      </c>
      <c r="J959" s="13">
        <v>1</v>
      </c>
      <c r="K959" s="14" t="str">
        <f>HYPERLINK("http://twitter.com","Twitter Web Client")</f>
        <v>Twitter Web Client</v>
      </c>
      <c r="L959" s="13">
        <v>221</v>
      </c>
      <c r="M959" s="13">
        <v>899</v>
      </c>
      <c r="N959" s="13">
        <v>9</v>
      </c>
      <c r="O959" s="15"/>
      <c r="P959" s="6">
        <v>40462.07640046296</v>
      </c>
      <c r="Q959" s="12"/>
      <c r="R959" s="17" t="s">
        <v>2472</v>
      </c>
      <c r="S959" s="12"/>
      <c r="T959" s="12"/>
      <c r="U959" s="10" t="str">
        <f>HYPERLINK("https://pbs.twimg.com/profile_images/1143348117/Corto_Maltes.jpg","View")</f>
        <v>View</v>
      </c>
    </row>
    <row r="960" spans="1:21" ht="40.799999999999997">
      <c r="A960" s="6">
        <v>43425.876273148147</v>
      </c>
      <c r="B960" s="7" t="str">
        <f>HYPERLINK("https://twitter.com/Xuxatronnn","@Xuxatronnn")</f>
        <v>@Xuxatronnn</v>
      </c>
      <c r="C960" s="8" t="s">
        <v>3221</v>
      </c>
      <c r="D960" s="9" t="s">
        <v>5059</v>
      </c>
      <c r="E960" s="10" t="str">
        <f>HYPERLINK("https://twitter.com/Xuxatronnn/status/1065334491185582081","1065334491185582081")</f>
        <v>1065334491185582081</v>
      </c>
      <c r="F960" s="12"/>
      <c r="G960" s="12"/>
      <c r="H960" s="12"/>
      <c r="I960" s="13">
        <v>0</v>
      </c>
      <c r="J960" s="13">
        <v>0</v>
      </c>
      <c r="K960" s="14" t="str">
        <f>HYPERLINK("http://twitter.com/download/android","Twitter for Android")</f>
        <v>Twitter for Android</v>
      </c>
      <c r="L960" s="13">
        <v>969</v>
      </c>
      <c r="M960" s="13">
        <v>916</v>
      </c>
      <c r="N960" s="13">
        <v>11</v>
      </c>
      <c r="O960" s="15"/>
      <c r="P960" s="6">
        <v>42490.89707175926</v>
      </c>
      <c r="Q960" s="12"/>
      <c r="R960" s="17" t="s">
        <v>3226</v>
      </c>
      <c r="S960" s="12"/>
      <c r="T960" s="12"/>
      <c r="U960" s="10" t="str">
        <f>HYPERLINK("https://pbs.twimg.com/profile_images/914584332815224835/YbW49TKK.jpg","View")</f>
        <v>View</v>
      </c>
    </row>
    <row r="961" spans="1:21" ht="40.799999999999997">
      <c r="A961" s="6">
        <v>43425.87600694444</v>
      </c>
      <c r="B961" s="7" t="str">
        <f>HYPERLINK("https://twitter.com/PepeGarciaPer","@PepeGarciaPer")</f>
        <v>@PepeGarciaPer</v>
      </c>
      <c r="C961" s="8" t="s">
        <v>2698</v>
      </c>
      <c r="D961" s="9" t="s">
        <v>5061</v>
      </c>
      <c r="E961" s="10" t="str">
        <f>HYPERLINK("https://twitter.com/PepeGarciaPer/status/1065334393416441856","1065334393416441856")</f>
        <v>1065334393416441856</v>
      </c>
      <c r="F961" s="11" t="s">
        <v>557</v>
      </c>
      <c r="G961" s="12"/>
      <c r="H961" s="12"/>
      <c r="I961" s="13">
        <v>3</v>
      </c>
      <c r="J961" s="13">
        <v>0</v>
      </c>
      <c r="K961" s="14" t="str">
        <f>HYPERLINK("http://twitter.com","Twitter Web Client")</f>
        <v>Twitter Web Client</v>
      </c>
      <c r="L961" s="13">
        <v>3111</v>
      </c>
      <c r="M961" s="13">
        <v>2545</v>
      </c>
      <c r="N961" s="13">
        <v>25</v>
      </c>
      <c r="O961" s="15"/>
      <c r="P961" s="6">
        <v>41067.917546296296</v>
      </c>
      <c r="Q961" s="16" t="s">
        <v>2700</v>
      </c>
      <c r="R961" s="17" t="s">
        <v>2701</v>
      </c>
      <c r="S961" s="12"/>
      <c r="T961" s="12"/>
      <c r="U961" s="10" t="str">
        <f>HYPERLINK("https://pbs.twimg.com/profile_images/2779989453/f11a42a4fc687ff1349d4969e049875a.jpeg","View")</f>
        <v>View</v>
      </c>
    </row>
    <row r="962" spans="1:21" ht="40.799999999999997">
      <c r="A962" s="6">
        <v>43425.87599537037</v>
      </c>
      <c r="B962" s="7" t="str">
        <f>HYPERLINK("https://twitter.com/HectorEnemigo","@HectorEnemigo")</f>
        <v>@HectorEnemigo</v>
      </c>
      <c r="C962" s="8" t="s">
        <v>2473</v>
      </c>
      <c r="D962" s="9" t="s">
        <v>2474</v>
      </c>
      <c r="E962" s="10" t="str">
        <f>HYPERLINK("https://twitter.com/HectorEnemigo/status/1065334389268201473","1065334389268201473")</f>
        <v>1065334389268201473</v>
      </c>
      <c r="F962" s="12"/>
      <c r="G962" s="12"/>
      <c r="H962" s="12"/>
      <c r="I962" s="13">
        <v>1</v>
      </c>
      <c r="J962" s="13">
        <v>0</v>
      </c>
      <c r="K962" s="14" t="str">
        <f>HYPERLINK("http://twitter.com/download/android","Twitter for Android")</f>
        <v>Twitter for Android</v>
      </c>
      <c r="L962" s="13">
        <v>729</v>
      </c>
      <c r="M962" s="13">
        <v>387</v>
      </c>
      <c r="N962" s="13">
        <v>36</v>
      </c>
      <c r="O962" s="15"/>
      <c r="P962" s="6">
        <v>41337.573912037034</v>
      </c>
      <c r="Q962" s="16" t="s">
        <v>2475</v>
      </c>
      <c r="R962" s="17" t="s">
        <v>2476</v>
      </c>
      <c r="S962" s="12"/>
      <c r="T962" s="12"/>
      <c r="U962" s="10" t="str">
        <f>HYPERLINK("https://pbs.twimg.com/profile_images/1041783097245749248/Le2yRl1u.jpg","View")</f>
        <v>View</v>
      </c>
    </row>
    <row r="963" spans="1:21" ht="51">
      <c r="A963" s="6">
        <v>43425.875694444447</v>
      </c>
      <c r="B963" s="7" t="str">
        <f>HYPERLINK("https://twitter.com/bitMomentum","@bitMomentum")</f>
        <v>@bitMomentum</v>
      </c>
      <c r="C963" s="8" t="s">
        <v>706</v>
      </c>
      <c r="D963" s="9" t="s">
        <v>2477</v>
      </c>
      <c r="E963" s="10" t="str">
        <f>HYPERLINK("https://twitter.com/bitMomentum/status/1065334280803500034","1065334280803500034")</f>
        <v>1065334280803500034</v>
      </c>
      <c r="F963" s="12"/>
      <c r="G963" s="12"/>
      <c r="H963" s="12"/>
      <c r="I963" s="13">
        <v>0</v>
      </c>
      <c r="J963" s="13">
        <v>0</v>
      </c>
      <c r="K963" s="14" t="str">
        <f>HYPERLINK("http://www.bitmomentum.com","bitMomentum Bot")</f>
        <v>bitMomentum Bot</v>
      </c>
      <c r="L963" s="13">
        <v>10132</v>
      </c>
      <c r="M963" s="13">
        <v>1060</v>
      </c>
      <c r="N963" s="13">
        <v>262</v>
      </c>
      <c r="O963" s="15"/>
      <c r="P963" s="6">
        <v>41608.667511574073</v>
      </c>
      <c r="Q963" s="12"/>
      <c r="R963" s="17" t="s">
        <v>708</v>
      </c>
      <c r="S963" s="11" t="s">
        <v>709</v>
      </c>
      <c r="T963" s="12"/>
      <c r="U963" s="10" t="str">
        <f>HYPERLINK("https://pbs.twimg.com/profile_images/378800000862185241/20ij2H3u.png","View")</f>
        <v>View</v>
      </c>
    </row>
    <row r="964" spans="1:21" ht="40.799999999999997">
      <c r="A964" s="6">
        <v>43425.875567129631</v>
      </c>
      <c r="B964" s="7" t="str">
        <f>HYPERLINK("https://twitter.com/sfp_1975","@sfp_1975")</f>
        <v>@sfp_1975</v>
      </c>
      <c r="C964" s="8" t="s">
        <v>2480</v>
      </c>
      <c r="D964" s="9" t="s">
        <v>2481</v>
      </c>
      <c r="E964" s="10" t="str">
        <f>HYPERLINK("https://twitter.com/sfp_1975/status/1065334236448731137","1065334236448731137")</f>
        <v>1065334236448731137</v>
      </c>
      <c r="F964" s="11" t="s">
        <v>1228</v>
      </c>
      <c r="G964" s="12"/>
      <c r="H964" s="12"/>
      <c r="I964" s="13">
        <v>0</v>
      </c>
      <c r="J964" s="13">
        <v>0</v>
      </c>
      <c r="K964" s="14" t="str">
        <f>HYPERLINK("http://twitter.com","Twitter Web Client")</f>
        <v>Twitter Web Client</v>
      </c>
      <c r="L964" s="13">
        <v>2729</v>
      </c>
      <c r="M964" s="13">
        <v>2454</v>
      </c>
      <c r="N964" s="13">
        <v>66</v>
      </c>
      <c r="O964" s="15"/>
      <c r="P964" s="6">
        <v>40632.931666666671</v>
      </c>
      <c r="Q964" s="16" t="s">
        <v>2482</v>
      </c>
      <c r="R964" s="17" t="s">
        <v>2483</v>
      </c>
      <c r="S964" s="12"/>
      <c r="T964" s="12"/>
      <c r="U964" s="10" t="str">
        <f>HYPERLINK("https://pbs.twimg.com/profile_images/855444391690985472/LVx96mOM.jpg","View")</f>
        <v>View</v>
      </c>
    </row>
    <row r="965" spans="1:21" ht="71.400000000000006">
      <c r="A965" s="6">
        <v>43425.8753587963</v>
      </c>
      <c r="B965" s="7" t="str">
        <f>HYPERLINK("https://twitter.com/Karlostentador","@Karlostentador")</f>
        <v>@Karlostentador</v>
      </c>
      <c r="C965" s="8" t="s">
        <v>5074</v>
      </c>
      <c r="D965" s="9" t="s">
        <v>5075</v>
      </c>
      <c r="E965" s="10" t="str">
        <f>HYPERLINK("https://twitter.com/Karlostentador/status/1065334160712220672","1065334160712220672")</f>
        <v>1065334160712220672</v>
      </c>
      <c r="F965" s="16" t="s">
        <v>64</v>
      </c>
      <c r="G965" s="11" t="s">
        <v>65</v>
      </c>
      <c r="H965" s="12"/>
      <c r="I965" s="13">
        <v>3</v>
      </c>
      <c r="J965" s="13">
        <v>4</v>
      </c>
      <c r="K965" s="14" t="str">
        <f t="shared" ref="K965:K966" si="197">HYPERLINK("http://twitter.com/download/android","Twitter for Android")</f>
        <v>Twitter for Android</v>
      </c>
      <c r="L965" s="13">
        <v>559</v>
      </c>
      <c r="M965" s="13">
        <v>818</v>
      </c>
      <c r="N965" s="13">
        <v>11</v>
      </c>
      <c r="O965" s="15"/>
      <c r="P965" s="6">
        <v>42334.715543981481</v>
      </c>
      <c r="Q965" s="12"/>
      <c r="R965" s="17" t="s">
        <v>5079</v>
      </c>
      <c r="S965" s="12"/>
      <c r="T965" s="12"/>
      <c r="U965" s="10" t="str">
        <f>HYPERLINK("https://pbs.twimg.com/profile_images/1014258257182052353/FYfMrnAV.jpg","View")</f>
        <v>View</v>
      </c>
    </row>
    <row r="966" spans="1:21" ht="30.6">
      <c r="A966" s="6">
        <v>43425.874282407407</v>
      </c>
      <c r="B966" s="7" t="str">
        <f>HYPERLINK("https://twitter.com/c_lukeskywalker","@c_lukeskywalker")</f>
        <v>@c_lukeskywalker</v>
      </c>
      <c r="C966" s="8" t="s">
        <v>2484</v>
      </c>
      <c r="D966" s="9" t="s">
        <v>2485</v>
      </c>
      <c r="E966" s="10" t="str">
        <f>HYPERLINK("https://twitter.com/c_lukeskywalker/status/1065333770235060224","1065333770235060224")</f>
        <v>1065333770235060224</v>
      </c>
      <c r="F966" s="16" t="s">
        <v>2486</v>
      </c>
      <c r="G966" s="11" t="s">
        <v>2487</v>
      </c>
      <c r="H966" s="12"/>
      <c r="I966" s="13">
        <v>1</v>
      </c>
      <c r="J966" s="13">
        <v>0</v>
      </c>
      <c r="K966" s="14" t="str">
        <f t="shared" si="197"/>
        <v>Twitter for Android</v>
      </c>
      <c r="L966" s="13">
        <v>511</v>
      </c>
      <c r="M966" s="13">
        <v>465</v>
      </c>
      <c r="N966" s="13">
        <v>3</v>
      </c>
      <c r="O966" s="15"/>
      <c r="P966" s="6">
        <v>40670.546134259261</v>
      </c>
      <c r="Q966" s="16" t="s">
        <v>496</v>
      </c>
      <c r="R966" s="17" t="s">
        <v>2490</v>
      </c>
      <c r="S966" s="12"/>
      <c r="T966" s="12"/>
      <c r="U966" s="10" t="str">
        <f>HYPERLINK("https://pbs.twimg.com/profile_images/1027996689808990209/2773Rvcf.jpg","View")</f>
        <v>View</v>
      </c>
    </row>
    <row r="967" spans="1:21" ht="30.6">
      <c r="A967" s="6">
        <v>43425.873807870375</v>
      </c>
      <c r="B967" s="7" t="str">
        <f>HYPERLINK("https://twitter.com/PacoHurtadoSan","@PacoHurtadoSan")</f>
        <v>@PacoHurtadoSan</v>
      </c>
      <c r="C967" s="8" t="s">
        <v>2492</v>
      </c>
      <c r="D967" s="9" t="s">
        <v>2493</v>
      </c>
      <c r="E967" s="10" t="str">
        <f>HYPERLINK("https://twitter.com/PacoHurtadoSan/status/1065333599317180416","1065333599317180416")</f>
        <v>1065333599317180416</v>
      </c>
      <c r="F967" s="12"/>
      <c r="G967" s="12"/>
      <c r="H967" s="12"/>
      <c r="I967" s="13">
        <v>0</v>
      </c>
      <c r="J967" s="13">
        <v>0</v>
      </c>
      <c r="K967" s="14" t="str">
        <f>HYPERLINK("http://twitter.com","Twitter Web Client")</f>
        <v>Twitter Web Client</v>
      </c>
      <c r="L967" s="13">
        <v>14</v>
      </c>
      <c r="M967" s="13">
        <v>80</v>
      </c>
      <c r="N967" s="13">
        <v>0</v>
      </c>
      <c r="O967" s="15"/>
      <c r="P967" s="6">
        <v>43275.639074074075</v>
      </c>
      <c r="Q967" s="12"/>
      <c r="R967" s="17" t="s">
        <v>2494</v>
      </c>
      <c r="S967" s="11" t="s">
        <v>2495</v>
      </c>
      <c r="T967" s="12"/>
      <c r="U967" s="10" t="str">
        <f>HYPERLINK("https://pbs.twimg.com/profile_images/1058382764993589248/x0GfjzG3.jpg","View")</f>
        <v>View</v>
      </c>
    </row>
    <row r="968" spans="1:21" ht="40.799999999999997">
      <c r="A968" s="6">
        <v>43425.870092592595</v>
      </c>
      <c r="B968" s="7" t="str">
        <f>HYPERLINK("https://twitter.com/VeoInfo_","@VeoInfo_")</f>
        <v>@VeoInfo_</v>
      </c>
      <c r="C968" s="8" t="s">
        <v>1158</v>
      </c>
      <c r="D968" s="9" t="s">
        <v>5088</v>
      </c>
      <c r="E968" s="10" t="str">
        <f>HYPERLINK("https://twitter.com/VeoInfo_/status/1065332250357702656","1065332250357702656")</f>
        <v>1065332250357702656</v>
      </c>
      <c r="F968" s="16" t="s">
        <v>5089</v>
      </c>
      <c r="G968" s="12"/>
      <c r="H968" s="12"/>
      <c r="I968" s="13">
        <v>0</v>
      </c>
      <c r="J968" s="13">
        <v>0</v>
      </c>
      <c r="K968" s="14" t="str">
        <f>HYPERLINK("http://publicize.wp.com/","WordPress.com")</f>
        <v>WordPress.com</v>
      </c>
      <c r="L968" s="13">
        <v>1135</v>
      </c>
      <c r="M968" s="13">
        <v>1139</v>
      </c>
      <c r="N968" s="13">
        <v>36</v>
      </c>
      <c r="O968" s="15"/>
      <c r="P968" s="6">
        <v>41881.101840277777</v>
      </c>
      <c r="Q968" s="16" t="s">
        <v>1161</v>
      </c>
      <c r="R968" s="17" t="s">
        <v>1162</v>
      </c>
      <c r="S968" s="11" t="s">
        <v>1163</v>
      </c>
      <c r="T968" s="12"/>
      <c r="U968" s="10" t="str">
        <f>HYPERLINK("https://pbs.twimg.com/profile_images/601509372305485827/Val0dfGy.png","View")</f>
        <v>View</v>
      </c>
    </row>
    <row r="969" spans="1:21" ht="30.6">
      <c r="A969" s="6">
        <v>43425.869374999995</v>
      </c>
      <c r="B969" s="7" t="str">
        <f>HYPERLINK("https://twitter.com/Kluiverista","@Kluiverista")</f>
        <v>@Kluiverista</v>
      </c>
      <c r="C969" s="8" t="s">
        <v>5092</v>
      </c>
      <c r="D969" s="9" t="s">
        <v>5093</v>
      </c>
      <c r="E969" s="10" t="str">
        <f>HYPERLINK("https://twitter.com/Kluiverista/status/1065331993137856515","1065331993137856515")</f>
        <v>1065331993137856515</v>
      </c>
      <c r="F969" s="12"/>
      <c r="G969" s="12"/>
      <c r="H969" s="12"/>
      <c r="I969" s="13">
        <v>1</v>
      </c>
      <c r="J969" s="13">
        <v>4</v>
      </c>
      <c r="K969" s="14" t="str">
        <f t="shared" ref="K969:K970" si="198">HYPERLINK("http://twitter.com/download/android","Twitter for Android")</f>
        <v>Twitter for Android</v>
      </c>
      <c r="L969" s="13">
        <v>21778</v>
      </c>
      <c r="M969" s="13">
        <v>20614</v>
      </c>
      <c r="N969" s="13">
        <v>72</v>
      </c>
      <c r="O969" s="15"/>
      <c r="P969" s="6">
        <v>41469.046469907407</v>
      </c>
      <c r="Q969" s="12"/>
      <c r="R969" s="17" t="s">
        <v>5095</v>
      </c>
      <c r="S969" s="12"/>
      <c r="T969" s="12"/>
      <c r="U969" s="10" t="str">
        <f>HYPERLINK("https://pbs.twimg.com/profile_images/1047221174193848321/-F1smjnO.jpg","View")</f>
        <v>View</v>
      </c>
    </row>
    <row r="970" spans="1:21" ht="51">
      <c r="A970" s="6">
        <v>43425.867719907408</v>
      </c>
      <c r="B970" s="7" t="str">
        <f>HYPERLINK("https://twitter.com/tuitiritran","@tuitiritran")</f>
        <v>@tuitiritran</v>
      </c>
      <c r="C970" s="8" t="s">
        <v>2496</v>
      </c>
      <c r="D970" s="9" t="s">
        <v>2497</v>
      </c>
      <c r="E970" s="10" t="str">
        <f>HYPERLINK("https://twitter.com/tuitiritran/status/1065331391322382336","1065331391322382336")</f>
        <v>1065331391322382336</v>
      </c>
      <c r="F970" s="12"/>
      <c r="G970" s="12"/>
      <c r="H970" s="12"/>
      <c r="I970" s="13">
        <v>1</v>
      </c>
      <c r="J970" s="13">
        <v>1</v>
      </c>
      <c r="K970" s="14" t="str">
        <f t="shared" si="198"/>
        <v>Twitter for Android</v>
      </c>
      <c r="L970" s="13">
        <v>390</v>
      </c>
      <c r="M970" s="13">
        <v>231</v>
      </c>
      <c r="N970" s="13">
        <v>1</v>
      </c>
      <c r="O970" s="15"/>
      <c r="P970" s="6">
        <v>43044.588229166664</v>
      </c>
      <c r="Q970" s="16" t="s">
        <v>2499</v>
      </c>
      <c r="R970" s="17" t="s">
        <v>2500</v>
      </c>
      <c r="S970" s="12"/>
      <c r="T970" s="12"/>
      <c r="U970" s="10" t="str">
        <f>HYPERLINK("https://pbs.twimg.com/profile_images/1000008540818477056/2g7AxKL8.jpg","View")</f>
        <v>View</v>
      </c>
    </row>
    <row r="971" spans="1:21" ht="20.399999999999999">
      <c r="A971" s="6">
        <v>43425.867592592593</v>
      </c>
      <c r="B971" s="7" t="str">
        <f>HYPERLINK("https://twitter.com/Lolabenimore","@Lolabenimore")</f>
        <v>@Lolabenimore</v>
      </c>
      <c r="C971" s="8" t="s">
        <v>5098</v>
      </c>
      <c r="D971" s="9" t="s">
        <v>1503</v>
      </c>
      <c r="E971" s="10" t="str">
        <f>HYPERLINK("https://twitter.com/Lolabenimore/status/1065331344404897792","1065331344404897792")</f>
        <v>1065331344404897792</v>
      </c>
      <c r="F971" s="11" t="s">
        <v>1504</v>
      </c>
      <c r="G971" s="12"/>
      <c r="H971" s="12"/>
      <c r="I971" s="13">
        <v>0</v>
      </c>
      <c r="J971" s="13">
        <v>0</v>
      </c>
      <c r="K971" s="14" t="str">
        <f>HYPERLINK("http://twitter.com","Twitter Web Client")</f>
        <v>Twitter Web Client</v>
      </c>
      <c r="L971" s="13">
        <v>122</v>
      </c>
      <c r="M971" s="13">
        <v>136</v>
      </c>
      <c r="N971" s="13">
        <v>46</v>
      </c>
      <c r="O971" s="15"/>
      <c r="P971" s="6">
        <v>41012.025081018517</v>
      </c>
      <c r="Q971" s="12"/>
      <c r="R971" s="19"/>
      <c r="S971" s="12"/>
      <c r="T971" s="12"/>
      <c r="U971" s="18" t="s">
        <v>559</v>
      </c>
    </row>
    <row r="972" spans="1:21" ht="40.799999999999997">
      <c r="A972" s="6">
        <v>43425.867407407408</v>
      </c>
      <c r="B972" s="7" t="str">
        <f>HYPERLINK("https://twitter.com/DafneStark_","@DafneStark_")</f>
        <v>@DafneStark_</v>
      </c>
      <c r="C972" s="8" t="s">
        <v>5102</v>
      </c>
      <c r="D972" s="9" t="s">
        <v>5103</v>
      </c>
      <c r="E972" s="10" t="str">
        <f>HYPERLINK("https://twitter.com/DafneStark_/status/1065331278193537029","1065331278193537029")</f>
        <v>1065331278193537029</v>
      </c>
      <c r="F972" s="16" t="s">
        <v>2486</v>
      </c>
      <c r="G972" s="11" t="s">
        <v>2487</v>
      </c>
      <c r="H972" s="12"/>
      <c r="I972" s="13">
        <v>0</v>
      </c>
      <c r="J972" s="13">
        <v>2</v>
      </c>
      <c r="K972" s="14" t="str">
        <f>HYPERLINK("http://twitter.com/download/android","Twitter for Android")</f>
        <v>Twitter for Android</v>
      </c>
      <c r="L972" s="13">
        <v>309</v>
      </c>
      <c r="M972" s="13">
        <v>212</v>
      </c>
      <c r="N972" s="13">
        <v>16</v>
      </c>
      <c r="O972" s="15"/>
      <c r="P972" s="6">
        <v>39991.633518518516</v>
      </c>
      <c r="Q972" s="16" t="s">
        <v>207</v>
      </c>
      <c r="R972" s="17" t="s">
        <v>5105</v>
      </c>
      <c r="S972" s="11" t="s">
        <v>5106</v>
      </c>
      <c r="T972" s="12"/>
      <c r="U972" s="10" t="str">
        <f>HYPERLINK("https://pbs.twimg.com/profile_images/1065282654130585602/dRptSGnI.jpg","View")</f>
        <v>View</v>
      </c>
    </row>
    <row r="973" spans="1:21" ht="20.399999999999999">
      <c r="A973" s="6">
        <v>43425.866516203707</v>
      </c>
      <c r="B973" s="7" t="str">
        <f>HYPERLINK("https://twitter.com/jpasalf","@jpasalf")</f>
        <v>@jpasalf</v>
      </c>
      <c r="C973" s="8" t="s">
        <v>5109</v>
      </c>
      <c r="D973" s="9" t="s">
        <v>5110</v>
      </c>
      <c r="E973" s="10" t="str">
        <f>HYPERLINK("https://twitter.com/jpasalf/status/1065330957962682368","1065330957962682368")</f>
        <v>1065330957962682368</v>
      </c>
      <c r="F973" s="11" t="s">
        <v>5112</v>
      </c>
      <c r="G973" s="12"/>
      <c r="H973" s="12"/>
      <c r="I973" s="13">
        <v>0</v>
      </c>
      <c r="J973" s="13">
        <v>0</v>
      </c>
      <c r="K973" s="14" t="str">
        <f>HYPERLINK("http://www.facebook.com/twitter","Facebook")</f>
        <v>Facebook</v>
      </c>
      <c r="L973" s="13">
        <v>1431</v>
      </c>
      <c r="M973" s="13">
        <v>2079</v>
      </c>
      <c r="N973" s="13">
        <v>14</v>
      </c>
      <c r="O973" s="15"/>
      <c r="P973" s="6">
        <v>40630.038923611108</v>
      </c>
      <c r="Q973" s="16" t="s">
        <v>5115</v>
      </c>
      <c r="R973" s="17" t="s">
        <v>5116</v>
      </c>
      <c r="S973" s="11" t="s">
        <v>5117</v>
      </c>
      <c r="T973" s="12"/>
      <c r="U973" s="10" t="str">
        <f>HYPERLINK("https://pbs.twimg.com/profile_images/502732647123402753/wTDaVBiu.jpeg","View")</f>
        <v>View</v>
      </c>
    </row>
    <row r="974" spans="1:21" ht="20.399999999999999">
      <c r="A974" s="6">
        <v>43425.865983796291</v>
      </c>
      <c r="B974" s="7" t="str">
        <f>HYPERLINK("https://twitter.com/lujosamogo","@lujosamogo")</f>
        <v>@lujosamogo</v>
      </c>
      <c r="C974" s="8" t="s">
        <v>5118</v>
      </c>
      <c r="D974" s="9" t="s">
        <v>5119</v>
      </c>
      <c r="E974" s="10" t="str">
        <f>HYPERLINK("https://twitter.com/lujosamogo/status/1065330761518260231","1065330761518260231")</f>
        <v>1065330761518260231</v>
      </c>
      <c r="F974" s="11" t="s">
        <v>5120</v>
      </c>
      <c r="G974" s="12"/>
      <c r="H974" s="12"/>
      <c r="I974" s="13">
        <v>3</v>
      </c>
      <c r="J974" s="13">
        <v>1</v>
      </c>
      <c r="K974" s="14" t="str">
        <f>HYPERLINK("http://twitter.com","Twitter Web Client")</f>
        <v>Twitter Web Client</v>
      </c>
      <c r="L974" s="13">
        <v>2200</v>
      </c>
      <c r="M974" s="13">
        <v>3418</v>
      </c>
      <c r="N974" s="13">
        <v>12</v>
      </c>
      <c r="O974" s="15"/>
      <c r="P974" s="6">
        <v>41190.866203703699</v>
      </c>
      <c r="Q974" s="16" t="s">
        <v>37</v>
      </c>
      <c r="R974" s="17" t="s">
        <v>1282</v>
      </c>
      <c r="S974" s="12"/>
      <c r="T974" s="12"/>
      <c r="U974" s="10" t="str">
        <f>HYPERLINK("https://pbs.twimg.com/profile_images/672684960520777728/uwKiwACt.png","View")</f>
        <v>View</v>
      </c>
    </row>
    <row r="975" spans="1:21" ht="30.6">
      <c r="A975" s="6">
        <v>43425.865949074076</v>
      </c>
      <c r="B975" s="7" t="str">
        <f>HYPERLINK("https://twitter.com/KiKeNiCo","@KiKeNiCo")</f>
        <v>@KiKeNiCo</v>
      </c>
      <c r="C975" s="8" t="s">
        <v>5125</v>
      </c>
      <c r="D975" s="9" t="s">
        <v>5126</v>
      </c>
      <c r="E975" s="10" t="str">
        <f>HYPERLINK("https://twitter.com/KiKeNiCo/status/1065330752244600832","1065330752244600832")</f>
        <v>1065330752244600832</v>
      </c>
      <c r="F975" s="12"/>
      <c r="G975" s="11" t="s">
        <v>5127</v>
      </c>
      <c r="H975" s="12"/>
      <c r="I975" s="13">
        <v>3</v>
      </c>
      <c r="J975" s="13">
        <v>2</v>
      </c>
      <c r="K975" s="14" t="str">
        <f t="shared" ref="K975:K976" si="199">HYPERLINK("http://twitter.com/download/android","Twitter for Android")</f>
        <v>Twitter for Android</v>
      </c>
      <c r="L975" s="13">
        <v>2089</v>
      </c>
      <c r="M975" s="13">
        <v>307</v>
      </c>
      <c r="N975" s="13">
        <v>25</v>
      </c>
      <c r="O975" s="15"/>
      <c r="P975" s="6">
        <v>40411.61482638889</v>
      </c>
      <c r="Q975" s="16" t="s">
        <v>5130</v>
      </c>
      <c r="R975" s="17" t="s">
        <v>5131</v>
      </c>
      <c r="S975" s="11" t="s">
        <v>5132</v>
      </c>
      <c r="T975" s="12"/>
      <c r="U975" s="10" t="str">
        <f>HYPERLINK("https://pbs.twimg.com/profile_images/1033641828740935682/-BqF-F3J.jpg","View")</f>
        <v>View</v>
      </c>
    </row>
    <row r="976" spans="1:21" ht="71.400000000000006">
      <c r="A976" s="6">
        <v>43425.865925925929</v>
      </c>
      <c r="B976" s="7" t="str">
        <f>HYPERLINK("https://twitter.com/DeMeison","@DeMeison")</f>
        <v>@DeMeison</v>
      </c>
      <c r="C976" s="8" t="s">
        <v>4984</v>
      </c>
      <c r="D976" s="9" t="s">
        <v>5136</v>
      </c>
      <c r="E976" s="10" t="str">
        <f>HYPERLINK("https://twitter.com/DeMeison/status/1065330744011169793","1065330744011169793")</f>
        <v>1065330744011169793</v>
      </c>
      <c r="F976" s="16" t="s">
        <v>2570</v>
      </c>
      <c r="G976" s="11" t="s">
        <v>2571</v>
      </c>
      <c r="H976" s="12"/>
      <c r="I976" s="13">
        <v>0</v>
      </c>
      <c r="J976" s="13">
        <v>1</v>
      </c>
      <c r="K976" s="14" t="str">
        <f t="shared" si="199"/>
        <v>Twitter for Android</v>
      </c>
      <c r="L976" s="13">
        <v>1567</v>
      </c>
      <c r="M976" s="13">
        <v>1236</v>
      </c>
      <c r="N976" s="13">
        <v>24</v>
      </c>
      <c r="O976" s="15"/>
      <c r="P976" s="6">
        <v>40711.818657407406</v>
      </c>
      <c r="Q976" s="16" t="s">
        <v>4989</v>
      </c>
      <c r="R976" s="17" t="s">
        <v>4990</v>
      </c>
      <c r="S976" s="12"/>
      <c r="T976" s="12"/>
      <c r="U976" s="10" t="str">
        <f>HYPERLINK("https://pbs.twimg.com/profile_images/924658553121640448/v126-zQr.jpg","View")</f>
        <v>View</v>
      </c>
    </row>
    <row r="977" spans="1:21" ht="51">
      <c r="A977" s="6">
        <v>43425.86550925926</v>
      </c>
      <c r="B977" s="7" t="str">
        <f>HYPERLINK("https://twitter.com/Bassel2426","@Bassel2426")</f>
        <v>@Bassel2426</v>
      </c>
      <c r="C977" s="8" t="s">
        <v>5139</v>
      </c>
      <c r="D977" s="9" t="s">
        <v>5140</v>
      </c>
      <c r="E977" s="10" t="str">
        <f>HYPERLINK("https://twitter.com/Bassel2426/status/1065330591648894976","1065330591648894976")</f>
        <v>1065330591648894976</v>
      </c>
      <c r="F977" s="12"/>
      <c r="G977" s="12"/>
      <c r="H977" s="12"/>
      <c r="I977" s="13">
        <v>1</v>
      </c>
      <c r="J977" s="13">
        <v>0</v>
      </c>
      <c r="K977" s="14" t="str">
        <f>HYPERLINK("http://twitter.com/download/iphone","Twitter for iPhone")</f>
        <v>Twitter for iPhone</v>
      </c>
      <c r="L977" s="13">
        <v>5052</v>
      </c>
      <c r="M977" s="13">
        <v>1618</v>
      </c>
      <c r="N977" s="13">
        <v>34</v>
      </c>
      <c r="O977" s="15"/>
      <c r="P977" s="6">
        <v>42503.686620370368</v>
      </c>
      <c r="Q977" s="16" t="s">
        <v>5143</v>
      </c>
      <c r="R977" s="17" t="s">
        <v>5144</v>
      </c>
      <c r="S977" s="12"/>
      <c r="T977" s="12"/>
      <c r="U977" s="10" t="str">
        <f>HYPERLINK("https://pbs.twimg.com/profile_images/991631132545421312/9ni8uZhU.jpg","View")</f>
        <v>View</v>
      </c>
    </row>
    <row r="978" spans="1:21" ht="20.399999999999999">
      <c r="A978" s="6">
        <v>43425.864988425921</v>
      </c>
      <c r="B978" s="7" t="str">
        <f>HYPERLINK("https://twitter.com/eldivandeJules","@eldivandeJules")</f>
        <v>@eldivandeJules</v>
      </c>
      <c r="C978" s="8" t="s">
        <v>150</v>
      </c>
      <c r="D978" s="9" t="s">
        <v>5148</v>
      </c>
      <c r="E978" s="10" t="str">
        <f>HYPERLINK("https://twitter.com/eldivandeJules/status/1065330402993278976","1065330402993278976")</f>
        <v>1065330402993278976</v>
      </c>
      <c r="F978" s="12"/>
      <c r="G978" s="12"/>
      <c r="H978" s="12"/>
      <c r="I978" s="13">
        <v>9</v>
      </c>
      <c r="J978" s="13">
        <v>23</v>
      </c>
      <c r="K978" s="14" t="str">
        <f t="shared" ref="K978:K979" si="200">HYPERLINK("http://twitter.com/download/android","Twitter for Android")</f>
        <v>Twitter for Android</v>
      </c>
      <c r="L978" s="13">
        <v>16297</v>
      </c>
      <c r="M978" s="13">
        <v>3798</v>
      </c>
      <c r="N978" s="13">
        <v>58</v>
      </c>
      <c r="O978" s="15"/>
      <c r="P978" s="6">
        <v>43222.10832175926</v>
      </c>
      <c r="Q978" s="12"/>
      <c r="R978" s="17" t="s">
        <v>158</v>
      </c>
      <c r="S978" s="12"/>
      <c r="T978" s="12"/>
      <c r="U978" s="10" t="str">
        <f>HYPERLINK("https://pbs.twimg.com/profile_images/991478533389209601/fIbyIduf.jpg","View")</f>
        <v>View</v>
      </c>
    </row>
    <row r="979" spans="1:21" ht="40.799999999999997">
      <c r="A979" s="6">
        <v>43425.864618055552</v>
      </c>
      <c r="B979" s="7" t="str">
        <f>HYPERLINK("https://twitter.com/magoindignadode","@magoindignadode")</f>
        <v>@magoindignadode</v>
      </c>
      <c r="C979" s="8" t="s">
        <v>5152</v>
      </c>
      <c r="D979" s="9" t="s">
        <v>4492</v>
      </c>
      <c r="E979" s="10" t="str">
        <f>HYPERLINK("https://twitter.com/magoindignadode/status/1065330269446701056","1065330269446701056")</f>
        <v>1065330269446701056</v>
      </c>
      <c r="F979" s="11" t="s">
        <v>1700</v>
      </c>
      <c r="G979" s="12"/>
      <c r="H979" s="12"/>
      <c r="I979" s="13">
        <v>1</v>
      </c>
      <c r="J979" s="13">
        <v>0</v>
      </c>
      <c r="K979" s="14" t="str">
        <f t="shared" si="200"/>
        <v>Twitter for Android</v>
      </c>
      <c r="L979" s="13">
        <v>2531</v>
      </c>
      <c r="M979" s="13">
        <v>4950</v>
      </c>
      <c r="N979" s="13">
        <v>10</v>
      </c>
      <c r="O979" s="15"/>
      <c r="P979" s="6">
        <v>42339.814756944441</v>
      </c>
      <c r="Q979" s="16" t="s">
        <v>5156</v>
      </c>
      <c r="R979" s="17" t="s">
        <v>5157</v>
      </c>
      <c r="S979" s="11" t="s">
        <v>5158</v>
      </c>
      <c r="T979" s="12"/>
      <c r="U979" s="10" t="str">
        <f>HYPERLINK("https://pbs.twimg.com/profile_images/788724934835068928/BVn1PZuw.jpg","View")</f>
        <v>View</v>
      </c>
    </row>
    <row r="980" spans="1:21" ht="40.799999999999997">
      <c r="A980" s="6">
        <v>43425.864583333328</v>
      </c>
      <c r="B980" s="7" t="str">
        <f>HYPERLINK("https://twitter.com/El_Plural","@El_Plural")</f>
        <v>@El_Plural</v>
      </c>
      <c r="C980" s="8" t="s">
        <v>5159</v>
      </c>
      <c r="D980" s="9" t="s">
        <v>5160</v>
      </c>
      <c r="E980" s="10" t="str">
        <f>HYPERLINK("https://twitter.com/El_Plural/status/1065330255513247746","1065330255513247746")</f>
        <v>1065330255513247746</v>
      </c>
      <c r="F980" s="11" t="s">
        <v>1228</v>
      </c>
      <c r="G980" s="12"/>
      <c r="H980" s="12"/>
      <c r="I980" s="13">
        <v>8</v>
      </c>
      <c r="J980" s="13">
        <v>9</v>
      </c>
      <c r="K980" s="14" t="str">
        <f>HYPERLINK("https://about.twitter.com/products/tweetdeck","TweetDeck")</f>
        <v>TweetDeck</v>
      </c>
      <c r="L980" s="13">
        <v>71891</v>
      </c>
      <c r="M980" s="13">
        <v>1644</v>
      </c>
      <c r="N980" s="13">
        <v>2012</v>
      </c>
      <c r="O980" s="15"/>
      <c r="P980" s="6">
        <v>40351.51053240741</v>
      </c>
      <c r="Q980" s="16" t="s">
        <v>37</v>
      </c>
      <c r="R980" s="17" t="s">
        <v>5162</v>
      </c>
      <c r="S980" s="11" t="s">
        <v>5163</v>
      </c>
      <c r="T980" s="12"/>
      <c r="U980" s="10" t="str">
        <f>HYPERLINK("https://pbs.twimg.com/profile_images/1017707018138857473/kUt8X2tn.jpg","View")</f>
        <v>View</v>
      </c>
    </row>
    <row r="981" spans="1:21" ht="40.799999999999997">
      <c r="A981" s="6">
        <v>43425.863553240742</v>
      </c>
      <c r="B981" s="7" t="str">
        <f>HYPERLINK("https://twitter.com/MetaruKujo","@MetaruKujo")</f>
        <v>@MetaruKujo</v>
      </c>
      <c r="C981" s="8" t="s">
        <v>5164</v>
      </c>
      <c r="D981" s="9" t="s">
        <v>5165</v>
      </c>
      <c r="E981" s="10" t="str">
        <f>HYPERLINK("https://twitter.com/MetaruKujo/status/1065329883000303618","1065329883000303618")</f>
        <v>1065329883000303618</v>
      </c>
      <c r="F981" s="16" t="s">
        <v>2486</v>
      </c>
      <c r="G981" s="11" t="s">
        <v>2487</v>
      </c>
      <c r="H981" s="12"/>
      <c r="I981" s="13">
        <v>1</v>
      </c>
      <c r="J981" s="13">
        <v>2</v>
      </c>
      <c r="K981" s="14" t="str">
        <f>HYPERLINK("http://twitter.com/download/android","Twitter for Android")</f>
        <v>Twitter for Android</v>
      </c>
      <c r="L981" s="13">
        <v>154</v>
      </c>
      <c r="M981" s="13">
        <v>415</v>
      </c>
      <c r="N981" s="13">
        <v>1</v>
      </c>
      <c r="O981" s="15"/>
      <c r="P981" s="6">
        <v>42032.726967592593</v>
      </c>
      <c r="Q981" s="16" t="s">
        <v>5171</v>
      </c>
      <c r="R981" s="17" t="s">
        <v>5172</v>
      </c>
      <c r="S981" s="11" t="s">
        <v>5173</v>
      </c>
      <c r="T981" s="12"/>
      <c r="U981" s="10" t="str">
        <f>HYPERLINK("https://pbs.twimg.com/profile_images/1064629531997335552/CZ4H_aOF.jpg","View")</f>
        <v>View</v>
      </c>
    </row>
    <row r="982" spans="1:21" ht="51">
      <c r="A982" s="6">
        <v>43425.861030092594</v>
      </c>
      <c r="B982" s="7" t="str">
        <f>HYPERLINK("https://twitter.com/BlaancaNiieves","@BlaancaNiieves")</f>
        <v>@BlaancaNiieves</v>
      </c>
      <c r="C982" s="8" t="s">
        <v>5176</v>
      </c>
      <c r="D982" s="9" t="s">
        <v>5177</v>
      </c>
      <c r="E982" s="10" t="str">
        <f>HYPERLINK("https://twitter.com/BlaancaNiieves/status/1065328967274700800","1065328967274700800")</f>
        <v>1065328967274700800</v>
      </c>
      <c r="F982" s="11" t="s">
        <v>1700</v>
      </c>
      <c r="G982" s="12"/>
      <c r="H982" s="12"/>
      <c r="I982" s="13">
        <v>2</v>
      </c>
      <c r="J982" s="13">
        <v>0</v>
      </c>
      <c r="K982" s="14" t="str">
        <f t="shared" ref="K982:K983" si="201">HYPERLINK("http://twitter.com","Twitter Web Client")</f>
        <v>Twitter Web Client</v>
      </c>
      <c r="L982" s="13">
        <v>12765</v>
      </c>
      <c r="M982" s="13">
        <v>7062</v>
      </c>
      <c r="N982" s="13">
        <v>179</v>
      </c>
      <c r="O982" s="15"/>
      <c r="P982" s="6">
        <v>40831.473078703704</v>
      </c>
      <c r="Q982" s="16" t="s">
        <v>37</v>
      </c>
      <c r="R982" s="17" t="s">
        <v>5182</v>
      </c>
      <c r="S982" s="12"/>
      <c r="T982" s="12"/>
      <c r="U982" s="10" t="str">
        <f>HYPERLINK("https://pbs.twimg.com/profile_images/2470680169/wsbnexryuc29zw10olvt.jpeg","View")</f>
        <v>View</v>
      </c>
    </row>
    <row r="983" spans="1:21" ht="61.2">
      <c r="A983" s="6">
        <v>43425.860694444447</v>
      </c>
      <c r="B983" s="7" t="str">
        <f>HYPERLINK("https://twitter.com/josep_crespo","@josep_crespo")</f>
        <v>@josep_crespo</v>
      </c>
      <c r="C983" s="8" t="s">
        <v>2502</v>
      </c>
      <c r="D983" s="9" t="s">
        <v>2503</v>
      </c>
      <c r="E983" s="10" t="str">
        <f>HYPERLINK("https://twitter.com/josep_crespo/status/1065328846327726081","1065328846327726081")</f>
        <v>1065328846327726081</v>
      </c>
      <c r="F983" s="16" t="s">
        <v>2504</v>
      </c>
      <c r="G983" s="12"/>
      <c r="H983" s="12"/>
      <c r="I983" s="13">
        <v>0</v>
      </c>
      <c r="J983" s="13">
        <v>1</v>
      </c>
      <c r="K983" s="14" t="str">
        <f t="shared" si="201"/>
        <v>Twitter Web Client</v>
      </c>
      <c r="L983" s="13">
        <v>94</v>
      </c>
      <c r="M983" s="13">
        <v>385</v>
      </c>
      <c r="N983" s="13">
        <v>2</v>
      </c>
      <c r="O983" s="15"/>
      <c r="P983" s="6">
        <v>39242.819780092592</v>
      </c>
      <c r="Q983" s="16" t="s">
        <v>2505</v>
      </c>
      <c r="R983" s="17" t="s">
        <v>2507</v>
      </c>
      <c r="S983" s="12"/>
      <c r="T983" s="12"/>
      <c r="U983" s="10" t="str">
        <f>HYPERLINK("https://pbs.twimg.com/profile_images/2076953391/190270_103586839724061_100002182365986_33693_3897931_n.jpeg","View")</f>
        <v>View</v>
      </c>
    </row>
    <row r="984" spans="1:21" ht="20.399999999999999">
      <c r="A984" s="6">
        <v>43425.859722222223</v>
      </c>
      <c r="B984" s="7" t="str">
        <f>HYPERLINK("https://twitter.com/eldiarioes","@eldiarioes")</f>
        <v>@eldiarioes</v>
      </c>
      <c r="C984" s="20" t="s">
        <v>5185</v>
      </c>
      <c r="D984" s="9" t="s">
        <v>5186</v>
      </c>
      <c r="E984" s="10" t="str">
        <f>HYPERLINK("https://twitter.com/eldiarioes/status/1065328493301399552","1065328493301399552")</f>
        <v>1065328493301399552</v>
      </c>
      <c r="F984" s="11" t="s">
        <v>4096</v>
      </c>
      <c r="G984" s="11" t="s">
        <v>5189</v>
      </c>
      <c r="H984" s="12"/>
      <c r="I984" s="13">
        <v>62</v>
      </c>
      <c r="J984" s="13">
        <v>49</v>
      </c>
      <c r="K984" s="14" t="str">
        <f>HYPERLINK("https://about.twitter.com/products/tweetdeck","TweetDeck")</f>
        <v>TweetDeck</v>
      </c>
      <c r="L984" s="13">
        <v>936617</v>
      </c>
      <c r="M984" s="13">
        <v>456</v>
      </c>
      <c r="N984" s="13">
        <v>11237</v>
      </c>
      <c r="O984" s="18" t="s">
        <v>36</v>
      </c>
      <c r="P984" s="6">
        <v>40992.839189814811</v>
      </c>
      <c r="Q984" s="12"/>
      <c r="R984" s="17" t="s">
        <v>5190</v>
      </c>
      <c r="S984" s="11" t="s">
        <v>5191</v>
      </c>
      <c r="T984" s="12"/>
      <c r="U984" s="10" t="str">
        <f>HYPERLINK("https://pbs.twimg.com/profile_images/1016600645292511232/eYIkIK2s.jpg","View")</f>
        <v>View</v>
      </c>
    </row>
    <row r="985" spans="1:21" ht="20.399999999999999">
      <c r="A985" s="6">
        <v>43425.858530092592</v>
      </c>
      <c r="B985" s="7" t="str">
        <f>HYPERLINK("https://twitter.com/tirso_perez","@tirso_perez")</f>
        <v>@tirso_perez</v>
      </c>
      <c r="C985" s="8" t="s">
        <v>2829</v>
      </c>
      <c r="D985" s="9" t="s">
        <v>1503</v>
      </c>
      <c r="E985" s="10" t="str">
        <f>HYPERLINK("https://twitter.com/tirso_perez/status/1065328061879590912","1065328061879590912")</f>
        <v>1065328061879590912</v>
      </c>
      <c r="F985" s="11" t="s">
        <v>1504</v>
      </c>
      <c r="G985" s="12"/>
      <c r="H985" s="12"/>
      <c r="I985" s="13">
        <v>0</v>
      </c>
      <c r="J985" s="13">
        <v>0</v>
      </c>
      <c r="K985" s="14" t="str">
        <f>HYPERLINK("http://twitter.com","Twitter Web Client")</f>
        <v>Twitter Web Client</v>
      </c>
      <c r="L985" s="13">
        <v>200</v>
      </c>
      <c r="M985" s="13">
        <v>889</v>
      </c>
      <c r="N985" s="13">
        <v>5</v>
      </c>
      <c r="O985" s="15"/>
      <c r="P985" s="6">
        <v>40936.635057870371</v>
      </c>
      <c r="Q985" s="12"/>
      <c r="R985" s="19"/>
      <c r="S985" s="12"/>
      <c r="T985" s="12"/>
      <c r="U985" s="10" t="str">
        <f>HYPERLINK("https://pbs.twimg.com/profile_images/824975902744403968/h3uRVXIG.jpg","View")</f>
        <v>View</v>
      </c>
    </row>
    <row r="986" spans="1:21" ht="30.6">
      <c r="A986" s="6">
        <v>43425.85837962963</v>
      </c>
      <c r="B986" s="7" t="str">
        <f>HYPERLINK("https://twitter.com/David_DresdenCR","@David_DresdenCR")</f>
        <v>@David_DresdenCR</v>
      </c>
      <c r="C986" s="8" t="s">
        <v>2509</v>
      </c>
      <c r="D986" s="9" t="s">
        <v>2511</v>
      </c>
      <c r="E986" s="10" t="str">
        <f>HYPERLINK("https://twitter.com/David_DresdenCR/status/1065328006313459712","1065328006313459712")</f>
        <v>1065328006313459712</v>
      </c>
      <c r="F986" s="12"/>
      <c r="G986" s="11" t="s">
        <v>2513</v>
      </c>
      <c r="H986" s="12"/>
      <c r="I986" s="13">
        <v>0</v>
      </c>
      <c r="J986" s="13">
        <v>0</v>
      </c>
      <c r="K986" s="14" t="str">
        <f>HYPERLINK("http://twitter.com/download/android","Twitter for Android")</f>
        <v>Twitter for Android</v>
      </c>
      <c r="L986" s="13">
        <v>53</v>
      </c>
      <c r="M986" s="13">
        <v>615</v>
      </c>
      <c r="N986" s="13">
        <v>2</v>
      </c>
      <c r="O986" s="15"/>
      <c r="P986" s="6">
        <v>41830.604108796295</v>
      </c>
      <c r="Q986" s="16" t="s">
        <v>68</v>
      </c>
      <c r="R986" s="17" t="s">
        <v>2514</v>
      </c>
      <c r="S986" s="12"/>
      <c r="T986" s="12"/>
      <c r="U986" s="10" t="str">
        <f>HYPERLINK("https://pbs.twimg.com/profile_images/689777928163442688/Mfn5fJFT.jpg","View")</f>
        <v>View</v>
      </c>
    </row>
    <row r="987" spans="1:21" ht="30.6">
      <c r="A987" s="6">
        <v>43425.858287037037</v>
      </c>
      <c r="B987" s="7" t="str">
        <f>HYPERLINK("https://twitter.com/jzenit","@jzenit")</f>
        <v>@jzenit</v>
      </c>
      <c r="C987" s="8" t="s">
        <v>2515</v>
      </c>
      <c r="D987" s="9" t="s">
        <v>2516</v>
      </c>
      <c r="E987" s="10" t="str">
        <f>HYPERLINK("https://twitter.com/jzenit/status/1065327974088671232","1065327974088671232")</f>
        <v>1065327974088671232</v>
      </c>
      <c r="F987" s="16" t="s">
        <v>2517</v>
      </c>
      <c r="G987" s="12"/>
      <c r="H987" s="12"/>
      <c r="I987" s="13">
        <v>0</v>
      </c>
      <c r="J987" s="13">
        <v>0</v>
      </c>
      <c r="K987" s="14" t="str">
        <f>HYPERLINK("https://tapbots.com/software/tweetbot/mac","Tweetbot for Mac")</f>
        <v>Tweetbot for Mac</v>
      </c>
      <c r="L987" s="13">
        <v>104</v>
      </c>
      <c r="M987" s="13">
        <v>82</v>
      </c>
      <c r="N987" s="13">
        <v>2</v>
      </c>
      <c r="O987" s="15"/>
      <c r="P987" s="6">
        <v>39947.820613425924</v>
      </c>
      <c r="Q987" s="16" t="s">
        <v>2518</v>
      </c>
      <c r="R987" s="17" t="s">
        <v>2519</v>
      </c>
      <c r="S987" s="11" t="s">
        <v>2520</v>
      </c>
      <c r="T987" s="12"/>
      <c r="U987" s="10" t="str">
        <f>HYPERLINK("https://pbs.twimg.com/profile_images/1030883821586141189/N4smlk0L.jpg","View")</f>
        <v>View</v>
      </c>
    </row>
    <row r="988" spans="1:21" ht="81.599999999999994">
      <c r="A988" s="6">
        <v>43425.856990740736</v>
      </c>
      <c r="B988" s="7" t="str">
        <f>HYPERLINK("https://twitter.com/LuisBatteman","@LuisBatteman")</f>
        <v>@LuisBatteman</v>
      </c>
      <c r="C988" s="8" t="s">
        <v>769</v>
      </c>
      <c r="D988" s="9" t="s">
        <v>2521</v>
      </c>
      <c r="E988" s="10" t="str">
        <f>HYPERLINK("https://twitter.com/LuisBatteman/status/1065327504595058689","1065327504595058689")</f>
        <v>1065327504595058689</v>
      </c>
      <c r="F988" s="11" t="s">
        <v>2522</v>
      </c>
      <c r="G988" s="11" t="s">
        <v>2523</v>
      </c>
      <c r="H988" s="12"/>
      <c r="I988" s="13">
        <v>2</v>
      </c>
      <c r="J988" s="13">
        <v>0</v>
      </c>
      <c r="K988" s="14" t="str">
        <f>HYPERLINK("http://twitter.com/download/android","Twitter for Android")</f>
        <v>Twitter for Android</v>
      </c>
      <c r="L988" s="13">
        <v>1731</v>
      </c>
      <c r="M988" s="13">
        <v>2195</v>
      </c>
      <c r="N988" s="13">
        <v>31</v>
      </c>
      <c r="O988" s="15"/>
      <c r="P988" s="6">
        <v>40122.007476851853</v>
      </c>
      <c r="Q988" s="16" t="s">
        <v>774</v>
      </c>
      <c r="R988" s="17" t="s">
        <v>775</v>
      </c>
      <c r="S988" s="12"/>
      <c r="T988" s="12"/>
      <c r="U988" s="10" t="str">
        <f>HYPERLINK("https://pbs.twimg.com/profile_images/730904453025546242/36bcf-X7.jpg","View")</f>
        <v>View</v>
      </c>
    </row>
    <row r="989" spans="1:21" ht="20.399999999999999">
      <c r="A989" s="6">
        <v>43425.855474537035</v>
      </c>
      <c r="B989" s="7" t="str">
        <f>HYPERLINK("https://twitter.com/vdiazm1_diaz","@vdiazm1_diaz")</f>
        <v>@vdiazm1_diaz</v>
      </c>
      <c r="C989" s="8" t="s">
        <v>5203</v>
      </c>
      <c r="D989" s="9" t="s">
        <v>4308</v>
      </c>
      <c r="E989" s="10" t="str">
        <f>HYPERLINK("https://twitter.com/vdiazm1_diaz/status/1065326952951803906","1065326952951803906")</f>
        <v>1065326952951803906</v>
      </c>
      <c r="F989" s="11" t="s">
        <v>1228</v>
      </c>
      <c r="G989" s="12"/>
      <c r="H989" s="12"/>
      <c r="I989" s="13">
        <v>0</v>
      </c>
      <c r="J989" s="13">
        <v>0</v>
      </c>
      <c r="K989" s="14" t="str">
        <f>HYPERLINK("http://twitter.com","Twitter Web Client")</f>
        <v>Twitter Web Client</v>
      </c>
      <c r="L989" s="13">
        <v>247</v>
      </c>
      <c r="M989" s="13">
        <v>749</v>
      </c>
      <c r="N989" s="13">
        <v>4</v>
      </c>
      <c r="O989" s="15"/>
      <c r="P989" s="6">
        <v>41249.679791666669</v>
      </c>
      <c r="Q989" s="16" t="s">
        <v>1796</v>
      </c>
      <c r="R989" s="19"/>
      <c r="S989" s="12"/>
      <c r="T989" s="12"/>
      <c r="U989" s="10" t="str">
        <f>HYPERLINK("https://pbs.twimg.com/profile_images/3064758577/4c08a7e2ae9b38632be10321609a9233.jpeg","View")</f>
        <v>View</v>
      </c>
    </row>
    <row r="990" spans="1:21" ht="40.799999999999997">
      <c r="A990" s="6">
        <v>43425.854166666672</v>
      </c>
      <c r="B990" s="7" t="str">
        <f>HYPERLINK("https://twitter.com/cspescados","@cspescados")</f>
        <v>@cspescados</v>
      </c>
      <c r="C990" s="8" t="s">
        <v>4544</v>
      </c>
      <c r="D990" s="9" t="s">
        <v>5206</v>
      </c>
      <c r="E990" s="10" t="str">
        <f>HYPERLINK("https://twitter.com/cspescados/status/1065326482791129088","1065326482791129088")</f>
        <v>1065326482791129088</v>
      </c>
      <c r="F990" s="12"/>
      <c r="G990" s="12"/>
      <c r="H990" s="12"/>
      <c r="I990" s="13">
        <v>80</v>
      </c>
      <c r="J990" s="13">
        <v>130</v>
      </c>
      <c r="K990" s="14" t="str">
        <f>HYPERLINK("https://about.twitter.com/products/tweetdeck","TweetDeck")</f>
        <v>TweetDeck</v>
      </c>
      <c r="L990" s="13">
        <v>14940</v>
      </c>
      <c r="M990" s="13">
        <v>819</v>
      </c>
      <c r="N990" s="13">
        <v>127</v>
      </c>
      <c r="O990" s="15"/>
      <c r="P990" s="6">
        <v>42097.732581018514</v>
      </c>
      <c r="Q990" s="16" t="s">
        <v>4547</v>
      </c>
      <c r="R990" s="17" t="s">
        <v>4548</v>
      </c>
      <c r="S990" s="11" t="s">
        <v>4549</v>
      </c>
      <c r="T990" s="12"/>
      <c r="U990" s="10" t="str">
        <f>HYPERLINK("https://pbs.twimg.com/profile_images/600268890959126528/aC9kvTK_.jpg","View")</f>
        <v>View</v>
      </c>
    </row>
    <row r="991" spans="1:21" ht="51">
      <c r="A991" s="6">
        <v>43425.853703703702</v>
      </c>
      <c r="B991" s="7" t="str">
        <f>HYPERLINK("https://twitter.com/PrimodelRivera1","@PrimodelRivera1")</f>
        <v>@PrimodelRivera1</v>
      </c>
      <c r="C991" s="8" t="s">
        <v>2524</v>
      </c>
      <c r="D991" s="9" t="s">
        <v>2525</v>
      </c>
      <c r="E991" s="10" t="str">
        <f>HYPERLINK("https://twitter.com/PrimodelRivera1/status/1065326314339663873","1065326314339663873")</f>
        <v>1065326314339663873</v>
      </c>
      <c r="F991" s="12"/>
      <c r="G991" s="11" t="s">
        <v>2526</v>
      </c>
      <c r="H991" s="12"/>
      <c r="I991" s="13">
        <v>0</v>
      </c>
      <c r="J991" s="13">
        <v>0</v>
      </c>
      <c r="K991" s="14" t="str">
        <f t="shared" ref="K991:K993" si="202">HYPERLINK("http://twitter.com","Twitter Web Client")</f>
        <v>Twitter Web Client</v>
      </c>
      <c r="L991" s="13">
        <v>269</v>
      </c>
      <c r="M991" s="13">
        <v>19</v>
      </c>
      <c r="N991" s="13">
        <v>0</v>
      </c>
      <c r="O991" s="15"/>
      <c r="P991" s="6">
        <v>42485.805497685185</v>
      </c>
      <c r="Q991" s="16" t="s">
        <v>37</v>
      </c>
      <c r="R991" s="17" t="s">
        <v>2527</v>
      </c>
      <c r="S991" s="11" t="s">
        <v>2528</v>
      </c>
      <c r="T991" s="12"/>
      <c r="U991" s="10" t="str">
        <f>HYPERLINK("https://pbs.twimg.com/profile_images/1003564554322939904/RPsC0PZ9.jpg","View")</f>
        <v>View</v>
      </c>
    </row>
    <row r="992" spans="1:21" ht="20.399999999999999">
      <c r="A992" s="6">
        <v>43425.853692129633</v>
      </c>
      <c r="B992" s="7" t="str">
        <f t="shared" ref="B992:B993" si="203">HYPERLINK("https://twitter.com/castellanapura","@castellanapura")</f>
        <v>@castellanapura</v>
      </c>
      <c r="C992" s="8" t="s">
        <v>5213</v>
      </c>
      <c r="D992" s="9" t="s">
        <v>5214</v>
      </c>
      <c r="E992" s="10" t="str">
        <f>HYPERLINK("https://twitter.com/castellanapura/status/1065326310438916098","1065326310438916098")</f>
        <v>1065326310438916098</v>
      </c>
      <c r="F992" s="11" t="s">
        <v>5216</v>
      </c>
      <c r="G992" s="12"/>
      <c r="H992" s="12"/>
      <c r="I992" s="13">
        <v>1</v>
      </c>
      <c r="J992" s="13">
        <v>0</v>
      </c>
      <c r="K992" s="14" t="str">
        <f t="shared" si="202"/>
        <v>Twitter Web Client</v>
      </c>
      <c r="L992" s="13">
        <v>2271</v>
      </c>
      <c r="M992" s="13">
        <v>3970</v>
      </c>
      <c r="N992" s="13">
        <v>98</v>
      </c>
      <c r="O992" s="15"/>
      <c r="P992" s="6">
        <v>41264.520324074074</v>
      </c>
      <c r="Q992" s="12"/>
      <c r="R992" s="17" t="s">
        <v>5218</v>
      </c>
      <c r="S992" s="12"/>
      <c r="T992" s="12"/>
      <c r="U992" s="10" t="str">
        <f t="shared" ref="U992:U993" si="204">HYPERLINK("https://pbs.twimg.com/profile_images/999929581233754112/1NA6LUp0.jpg","View")</f>
        <v>View</v>
      </c>
    </row>
    <row r="993" spans="1:21" ht="20.399999999999999">
      <c r="A993" s="6">
        <v>43425.853055555555</v>
      </c>
      <c r="B993" s="7" t="str">
        <f t="shared" si="203"/>
        <v>@castellanapura</v>
      </c>
      <c r="C993" s="8" t="s">
        <v>5213</v>
      </c>
      <c r="D993" s="9" t="s">
        <v>1697</v>
      </c>
      <c r="E993" s="10" t="str">
        <f>HYPERLINK("https://twitter.com/castellanapura/status/1065326079571910658","1065326079571910658")</f>
        <v>1065326079571910658</v>
      </c>
      <c r="F993" s="11" t="s">
        <v>1700</v>
      </c>
      <c r="G993" s="12"/>
      <c r="H993" s="12"/>
      <c r="I993" s="13">
        <v>1</v>
      </c>
      <c r="J993" s="13">
        <v>0</v>
      </c>
      <c r="K993" s="14" t="str">
        <f t="shared" si="202"/>
        <v>Twitter Web Client</v>
      </c>
      <c r="L993" s="13">
        <v>2271</v>
      </c>
      <c r="M993" s="13">
        <v>3970</v>
      </c>
      <c r="N993" s="13">
        <v>98</v>
      </c>
      <c r="O993" s="15"/>
      <c r="P993" s="6">
        <v>41264.520324074074</v>
      </c>
      <c r="Q993" s="12"/>
      <c r="R993" s="17" t="s">
        <v>5218</v>
      </c>
      <c r="S993" s="12"/>
      <c r="T993" s="12"/>
      <c r="U993" s="10" t="str">
        <f t="shared" si="204"/>
        <v>View</v>
      </c>
    </row>
    <row r="994" spans="1:21" ht="40.799999999999997">
      <c r="A994" s="6">
        <v>43425.853043981479</v>
      </c>
      <c r="B994" s="7" t="str">
        <f>HYPERLINK("https://twitter.com/rmolinagds","@rmolinagds")</f>
        <v>@rmolinagds</v>
      </c>
      <c r="C994" s="8" t="s">
        <v>2531</v>
      </c>
      <c r="D994" s="9" t="s">
        <v>2533</v>
      </c>
      <c r="E994" s="10" t="str">
        <f>HYPERLINK("https://twitter.com/rmolinagds/status/1065326071938277376","1065326071938277376")</f>
        <v>1065326071938277376</v>
      </c>
      <c r="F994" s="11" t="s">
        <v>2534</v>
      </c>
      <c r="G994" s="12"/>
      <c r="H994" s="12"/>
      <c r="I994" s="13">
        <v>0</v>
      </c>
      <c r="J994" s="13">
        <v>0</v>
      </c>
      <c r="K994" s="14" t="str">
        <f>HYPERLINK("http://twitter.com/download/android","Twitter for Android")</f>
        <v>Twitter for Android</v>
      </c>
      <c r="L994" s="13">
        <v>395</v>
      </c>
      <c r="M994" s="13">
        <v>896</v>
      </c>
      <c r="N994" s="13">
        <v>6</v>
      </c>
      <c r="O994" s="15"/>
      <c r="P994" s="6">
        <v>41161.762615740743</v>
      </c>
      <c r="Q994" s="16" t="s">
        <v>2536</v>
      </c>
      <c r="R994" s="17" t="s">
        <v>2537</v>
      </c>
      <c r="S994" s="12"/>
      <c r="T994" s="12"/>
      <c r="U994" s="10" t="str">
        <f>HYPERLINK("https://pbs.twimg.com/profile_images/2593042732/gv88z7h1ih9f2ozfm8zt.jpeg","View")</f>
        <v>View</v>
      </c>
    </row>
    <row r="995" spans="1:21" ht="30.6">
      <c r="A995" s="6">
        <v>43425.852777777778</v>
      </c>
      <c r="B995" s="7" t="str">
        <f>HYPERLINK("https://twitter.com/CsLaRioja","@CsLaRioja")</f>
        <v>@CsLaRioja</v>
      </c>
      <c r="C995" s="8" t="s">
        <v>1000</v>
      </c>
      <c r="D995" s="9" t="s">
        <v>2540</v>
      </c>
      <c r="E995" s="10" t="str">
        <f>HYPERLINK("https://twitter.com/CsLaRioja/status/1065325976723177472","1065325976723177472")</f>
        <v>1065325976723177472</v>
      </c>
      <c r="F995" s="11" t="s">
        <v>2541</v>
      </c>
      <c r="G995" s="11" t="s">
        <v>2542</v>
      </c>
      <c r="H995" s="12"/>
      <c r="I995" s="13">
        <v>2</v>
      </c>
      <c r="J995" s="13">
        <v>4</v>
      </c>
      <c r="K995" s="14" t="str">
        <f>HYPERLINK("https://about.twitter.com/products/tweetdeck","TweetDeck")</f>
        <v>TweetDeck</v>
      </c>
      <c r="L995" s="13">
        <v>4219</v>
      </c>
      <c r="M995" s="13">
        <v>1618</v>
      </c>
      <c r="N995" s="13">
        <v>83</v>
      </c>
      <c r="O995" s="18" t="s">
        <v>36</v>
      </c>
      <c r="P995" s="6">
        <v>41950.884421296294</v>
      </c>
      <c r="Q995" s="16" t="s">
        <v>1007</v>
      </c>
      <c r="R995" s="17" t="s">
        <v>1008</v>
      </c>
      <c r="S995" s="11" t="s">
        <v>1009</v>
      </c>
      <c r="T995" s="12"/>
      <c r="U995" s="10" t="str">
        <f>HYPERLINK("https://pbs.twimg.com/profile_images/1053530865739988993/qxMztW6q.jpg","View")</f>
        <v>View</v>
      </c>
    </row>
    <row r="996" spans="1:21" ht="30.6">
      <c r="A996" s="6">
        <v>43425.851747685185</v>
      </c>
      <c r="B996" s="7" t="str">
        <f>HYPERLINK("https://twitter.com/eldivandeJules","@eldivandeJules")</f>
        <v>@eldivandeJules</v>
      </c>
      <c r="C996" s="8" t="s">
        <v>150</v>
      </c>
      <c r="D996" s="9" t="s">
        <v>5229</v>
      </c>
      <c r="E996" s="10" t="str">
        <f>HYPERLINK("https://twitter.com/eldivandeJules/status/1065325605804302337","1065325605804302337")</f>
        <v>1065325605804302337</v>
      </c>
      <c r="F996" s="12"/>
      <c r="G996" s="12"/>
      <c r="H996" s="12"/>
      <c r="I996" s="13">
        <v>1116</v>
      </c>
      <c r="J996" s="13">
        <v>3067</v>
      </c>
      <c r="K996" s="14" t="str">
        <f t="shared" ref="K996:K997" si="205">HYPERLINK("http://twitter.com/download/android","Twitter for Android")</f>
        <v>Twitter for Android</v>
      </c>
      <c r="L996" s="13">
        <v>16297</v>
      </c>
      <c r="M996" s="13">
        <v>3798</v>
      </c>
      <c r="N996" s="13">
        <v>58</v>
      </c>
      <c r="O996" s="15"/>
      <c r="P996" s="6">
        <v>43222.10832175926</v>
      </c>
      <c r="Q996" s="12"/>
      <c r="R996" s="17" t="s">
        <v>158</v>
      </c>
      <c r="S996" s="12"/>
      <c r="T996" s="12"/>
      <c r="U996" s="10" t="str">
        <f>HYPERLINK("https://pbs.twimg.com/profile_images/991478533389209601/fIbyIduf.jpg","View")</f>
        <v>View</v>
      </c>
    </row>
    <row r="997" spans="1:21" ht="30.6">
      <c r="A997" s="6">
        <v>43425.850972222222</v>
      </c>
      <c r="B997" s="7" t="str">
        <f>HYPERLINK("https://twitter.com/javiyfran","@javiyfran")</f>
        <v>@javiyfran</v>
      </c>
      <c r="C997" s="8" t="s">
        <v>2545</v>
      </c>
      <c r="D997" s="9" t="s">
        <v>2546</v>
      </c>
      <c r="E997" s="10" t="str">
        <f>HYPERLINK("https://twitter.com/javiyfran/status/1065325324135735297","1065325324135735297")</f>
        <v>1065325324135735297</v>
      </c>
      <c r="F997" s="12"/>
      <c r="G997" s="12"/>
      <c r="H997" s="12"/>
      <c r="I997" s="13">
        <v>0</v>
      </c>
      <c r="J997" s="13">
        <v>0</v>
      </c>
      <c r="K997" s="14" t="str">
        <f t="shared" si="205"/>
        <v>Twitter for Android</v>
      </c>
      <c r="L997" s="13">
        <v>365</v>
      </c>
      <c r="M997" s="13">
        <v>647</v>
      </c>
      <c r="N997" s="13">
        <v>9</v>
      </c>
      <c r="O997" s="15"/>
      <c r="P997" s="6">
        <v>41319.561597222222</v>
      </c>
      <c r="Q997" s="12"/>
      <c r="R997" s="19"/>
      <c r="S997" s="12"/>
      <c r="T997" s="12"/>
      <c r="U997" s="10" t="str">
        <f>HYPERLINK("https://pbs.twimg.com/profile_images/722148732133896193/_g2FzeG5.jpg","View")</f>
        <v>View</v>
      </c>
    </row>
    <row r="998" spans="1:21" ht="51">
      <c r="A998" s="6">
        <v>43425.849212962959</v>
      </c>
      <c r="B998" s="7" t="str">
        <f>HYPERLINK("https://twitter.com/losfosfonautas","@losfosfonautas")</f>
        <v>@losfosfonautas</v>
      </c>
      <c r="C998" s="8" t="s">
        <v>2548</v>
      </c>
      <c r="D998" s="9" t="s">
        <v>2549</v>
      </c>
      <c r="E998" s="10" t="str">
        <f>HYPERLINK("https://twitter.com/losfosfonautas/status/1065324683741065216","1065324683741065216")</f>
        <v>1065324683741065216</v>
      </c>
      <c r="F998" s="11" t="s">
        <v>2553</v>
      </c>
      <c r="G998" s="12"/>
      <c r="H998" s="12"/>
      <c r="I998" s="13">
        <v>1</v>
      </c>
      <c r="J998" s="13">
        <v>4</v>
      </c>
      <c r="K998" s="14" t="str">
        <f>HYPERLINK("http://www.facebook.com/twitter","Facebook")</f>
        <v>Facebook</v>
      </c>
      <c r="L998" s="13">
        <v>30093</v>
      </c>
      <c r="M998" s="13">
        <v>1123</v>
      </c>
      <c r="N998" s="13">
        <v>145</v>
      </c>
      <c r="O998" s="15"/>
      <c r="P998" s="6">
        <v>41233.60670138889</v>
      </c>
      <c r="Q998" s="12"/>
      <c r="R998" s="17" t="s">
        <v>2554</v>
      </c>
      <c r="S998" s="11" t="s">
        <v>2555</v>
      </c>
      <c r="T998" s="12"/>
      <c r="U998" s="10" t="str">
        <f>HYPERLINK("https://pbs.twimg.com/profile_images/1046663874672566272/P1zhp-H7.jpg","View")</f>
        <v>View</v>
      </c>
    </row>
    <row r="999" spans="1:21" ht="20.399999999999999">
      <c r="A999" s="6">
        <v>43425.84652777778</v>
      </c>
      <c r="B999" s="7" t="str">
        <f>HYPERLINK("https://twitter.com/aitzolsala","@aitzolsala")</f>
        <v>@aitzolsala</v>
      </c>
      <c r="C999" s="8" t="s">
        <v>5234</v>
      </c>
      <c r="D999" s="9" t="s">
        <v>5235</v>
      </c>
      <c r="E999" s="10" t="str">
        <f>HYPERLINK("https://twitter.com/aitzolsala/status/1065323714311536643","1065323714311536643")</f>
        <v>1065323714311536643</v>
      </c>
      <c r="F999" s="11" t="s">
        <v>5237</v>
      </c>
      <c r="G999" s="12"/>
      <c r="H999" s="12"/>
      <c r="I999" s="13">
        <v>0</v>
      </c>
      <c r="J999" s="13">
        <v>2</v>
      </c>
      <c r="K999" s="14" t="str">
        <f t="shared" ref="K999:K1001" si="206">HYPERLINK("http://twitter.com/download/android","Twitter for Android")</f>
        <v>Twitter for Android</v>
      </c>
      <c r="L999" s="13">
        <v>16</v>
      </c>
      <c r="M999" s="13">
        <v>31</v>
      </c>
      <c r="N999" s="13">
        <v>0</v>
      </c>
      <c r="O999" s="15"/>
      <c r="P999" s="6">
        <v>41487.886516203704</v>
      </c>
      <c r="Q999" s="12"/>
      <c r="R999" s="19"/>
      <c r="S999" s="12"/>
      <c r="T999" s="12"/>
      <c r="U999" s="18" t="s">
        <v>559</v>
      </c>
    </row>
    <row r="1000" spans="1:21" ht="30.6">
      <c r="A1000" s="6">
        <v>43425.84542824074</v>
      </c>
      <c r="B1000" s="7" t="str">
        <f>HYPERLINK("https://twitter.com/EnriqueBoto","@EnriqueBoto")</f>
        <v>@EnriqueBoto</v>
      </c>
      <c r="C1000" s="8" t="s">
        <v>2558</v>
      </c>
      <c r="D1000" s="9" t="s">
        <v>2559</v>
      </c>
      <c r="E1000" s="10" t="str">
        <f>HYPERLINK("https://twitter.com/EnriqueBoto/status/1065323312480509957","1065323312480509957")</f>
        <v>1065323312480509957</v>
      </c>
      <c r="F1000" s="12"/>
      <c r="G1000" s="12"/>
      <c r="H1000" s="12"/>
      <c r="I1000" s="13">
        <v>0</v>
      </c>
      <c r="J1000" s="13">
        <v>0</v>
      </c>
      <c r="K1000" s="14" t="str">
        <f t="shared" si="206"/>
        <v>Twitter for Android</v>
      </c>
      <c r="L1000" s="13">
        <v>1425</v>
      </c>
      <c r="M1000" s="13">
        <v>966</v>
      </c>
      <c r="N1000" s="13">
        <v>14</v>
      </c>
      <c r="O1000" s="15"/>
      <c r="P1000" s="6">
        <v>41575.47896990741</v>
      </c>
      <c r="Q1000" s="16" t="s">
        <v>2561</v>
      </c>
      <c r="R1000" s="17" t="s">
        <v>2562</v>
      </c>
      <c r="S1000" s="12"/>
      <c r="T1000" s="12"/>
      <c r="U1000" s="10" t="str">
        <f>HYPERLINK("https://pbs.twimg.com/profile_images/432673214150356992/k4dht69u.png","View")</f>
        <v>View</v>
      </c>
    </row>
    <row r="1001" spans="1:21" ht="30.6">
      <c r="A1001" s="6">
        <v>43425.845300925925</v>
      </c>
      <c r="B1001" s="7" t="str">
        <f>HYPERLINK("https://twitter.com/LiendreMtro","@LiendreMtro")</f>
        <v>@LiendreMtro</v>
      </c>
      <c r="C1001" s="8" t="s">
        <v>2563</v>
      </c>
      <c r="D1001" s="9" t="s">
        <v>2564</v>
      </c>
      <c r="E1001" s="10" t="str">
        <f>HYPERLINK("https://twitter.com/LiendreMtro/status/1065323266863190016","1065323266863190016")</f>
        <v>1065323266863190016</v>
      </c>
      <c r="F1001" s="12"/>
      <c r="G1001" s="12"/>
      <c r="H1001" s="12"/>
      <c r="I1001" s="13">
        <v>0</v>
      </c>
      <c r="J1001" s="13">
        <v>0</v>
      </c>
      <c r="K1001" s="14" t="str">
        <f t="shared" si="206"/>
        <v>Twitter for Android</v>
      </c>
      <c r="L1001" s="13">
        <v>18</v>
      </c>
      <c r="M1001" s="13">
        <v>365</v>
      </c>
      <c r="N1001" s="13">
        <v>0</v>
      </c>
      <c r="O1001" s="15"/>
      <c r="P1001" s="6">
        <v>43324.495486111111</v>
      </c>
      <c r="Q1001" s="16" t="s">
        <v>366</v>
      </c>
      <c r="R1001" s="17" t="s">
        <v>2565</v>
      </c>
      <c r="S1001" s="12"/>
      <c r="T1001" s="12"/>
      <c r="U1001" s="10" t="str">
        <f>HYPERLINK("https://pbs.twimg.com/profile_images/1028583034554142721/mvuaqj-Q.jpg","View")</f>
        <v>View</v>
      </c>
    </row>
    <row r="1002" spans="1:21" ht="30.6">
      <c r="A1002" s="6">
        <v>43425.844907407409</v>
      </c>
      <c r="B1002" s="7" t="str">
        <f>HYPERLINK("https://twitter.com/Jorgemugaf","@Jorgemugaf")</f>
        <v>@Jorgemugaf</v>
      </c>
      <c r="C1002" s="8" t="s">
        <v>5244</v>
      </c>
      <c r="D1002" s="9" t="s">
        <v>5245</v>
      </c>
      <c r="E1002" s="10" t="str">
        <f>HYPERLINK("https://twitter.com/Jorgemugaf/status/1065323124315557893","1065323124315557893")</f>
        <v>1065323124315557893</v>
      </c>
      <c r="F1002" s="12"/>
      <c r="G1002" s="12"/>
      <c r="H1002" s="12"/>
      <c r="I1002" s="13">
        <v>0</v>
      </c>
      <c r="J1002" s="13">
        <v>0</v>
      </c>
      <c r="K1002" s="14" t="str">
        <f t="shared" ref="K1002:K1003" si="207">HYPERLINK("http://twitter.com","Twitter Web Client")</f>
        <v>Twitter Web Client</v>
      </c>
      <c r="L1002" s="13">
        <v>122</v>
      </c>
      <c r="M1002" s="13">
        <v>209</v>
      </c>
      <c r="N1002" s="13">
        <v>1</v>
      </c>
      <c r="O1002" s="15"/>
      <c r="P1002" s="6">
        <v>40719.790706018517</v>
      </c>
      <c r="Q1002" s="16" t="s">
        <v>1846</v>
      </c>
      <c r="R1002" s="19"/>
      <c r="S1002" s="12"/>
      <c r="T1002" s="12"/>
      <c r="U1002" s="10" t="str">
        <f>HYPERLINK("https://pbs.twimg.com/profile_images/1415742945/moebius2.jpg","View")</f>
        <v>View</v>
      </c>
    </row>
    <row r="1003" spans="1:21" ht="20.399999999999999">
      <c r="A1003" s="6">
        <v>43425.844641203701</v>
      </c>
      <c r="B1003" s="7" t="str">
        <f t="shared" ref="B1003:B1004" si="208">HYPERLINK("https://twitter.com/vgvxoel","@vgvxoel")</f>
        <v>@vgvxoel</v>
      </c>
      <c r="C1003" s="8" t="s">
        <v>5249</v>
      </c>
      <c r="D1003" s="9" t="s">
        <v>5250</v>
      </c>
      <c r="E1003" s="10" t="str">
        <f>HYPERLINK("https://twitter.com/vgvxoel/status/1065323027309756428","1065323027309756428")</f>
        <v>1065323027309756428</v>
      </c>
      <c r="F1003" s="11" t="s">
        <v>5253</v>
      </c>
      <c r="G1003" s="12"/>
      <c r="H1003" s="12"/>
      <c r="I1003" s="13">
        <v>0</v>
      </c>
      <c r="J1003" s="13">
        <v>0</v>
      </c>
      <c r="K1003" s="14" t="str">
        <f t="shared" si="207"/>
        <v>Twitter Web Client</v>
      </c>
      <c r="L1003" s="13">
        <v>652</v>
      </c>
      <c r="M1003" s="13">
        <v>1762</v>
      </c>
      <c r="N1003" s="13">
        <v>5</v>
      </c>
      <c r="O1003" s="15"/>
      <c r="P1003" s="6">
        <v>42062.795624999999</v>
      </c>
      <c r="Q1003" s="16" t="s">
        <v>5254</v>
      </c>
      <c r="R1003" s="19"/>
      <c r="S1003" s="12"/>
      <c r="T1003" s="12"/>
      <c r="U1003" s="10" t="str">
        <f t="shared" ref="U1003:U1004" si="209">HYPERLINK("https://pbs.twimg.com/profile_images/1044243058257285121/COxsIwIJ.jpg","View")</f>
        <v>View</v>
      </c>
    </row>
    <row r="1004" spans="1:21" ht="20.399999999999999">
      <c r="A1004" s="6">
        <v>43425.844571759255</v>
      </c>
      <c r="B1004" s="7" t="str">
        <f t="shared" si="208"/>
        <v>@vgvxoel</v>
      </c>
      <c r="C1004" s="8" t="s">
        <v>5249</v>
      </c>
      <c r="D1004" s="9" t="s">
        <v>4301</v>
      </c>
      <c r="E1004" s="10" t="str">
        <f>HYPERLINK("https://twitter.com/vgvxoel/status/1065323003498676226","1065323003498676226")</f>
        <v>1065323003498676226</v>
      </c>
      <c r="F1004" s="11" t="s">
        <v>4302</v>
      </c>
      <c r="G1004" s="12"/>
      <c r="H1004" s="12"/>
      <c r="I1004" s="13">
        <v>0</v>
      </c>
      <c r="J1004" s="13">
        <v>0</v>
      </c>
      <c r="K1004" s="14" t="str">
        <f>HYPERLINK("https://www.google.com/","Google")</f>
        <v>Google</v>
      </c>
      <c r="L1004" s="13">
        <v>652</v>
      </c>
      <c r="M1004" s="13">
        <v>1762</v>
      </c>
      <c r="N1004" s="13">
        <v>5</v>
      </c>
      <c r="O1004" s="15"/>
      <c r="P1004" s="6">
        <v>42062.795624999999</v>
      </c>
      <c r="Q1004" s="16" t="s">
        <v>5254</v>
      </c>
      <c r="R1004" s="19"/>
      <c r="S1004" s="12"/>
      <c r="T1004" s="12"/>
      <c r="U1004" s="10" t="str">
        <f t="shared" si="209"/>
        <v>View</v>
      </c>
    </row>
    <row r="1005" spans="1:21" ht="30.6">
      <c r="A1005" s="6">
        <v>43425.843622685185</v>
      </c>
      <c r="B1005" s="7" t="str">
        <f>HYPERLINK("https://twitter.com/Forever_Madao","@Forever_Madao")</f>
        <v>@Forever_Madao</v>
      </c>
      <c r="C1005" s="8" t="s">
        <v>5259</v>
      </c>
      <c r="D1005" s="9" t="s">
        <v>5260</v>
      </c>
      <c r="E1005" s="10" t="str">
        <f>HYPERLINK("https://twitter.com/Forever_Madao/status/1065322661830627328","1065322661830627328")</f>
        <v>1065322661830627328</v>
      </c>
      <c r="F1005" s="12"/>
      <c r="G1005" s="11" t="s">
        <v>5262</v>
      </c>
      <c r="H1005" s="12"/>
      <c r="I1005" s="13">
        <v>26</v>
      </c>
      <c r="J1005" s="13">
        <v>69</v>
      </c>
      <c r="K1005" s="14" t="str">
        <f>HYPERLINK("http://twitter.com","Twitter Web Client")</f>
        <v>Twitter Web Client</v>
      </c>
      <c r="L1005" s="13">
        <v>2479</v>
      </c>
      <c r="M1005" s="13">
        <v>467</v>
      </c>
      <c r="N1005" s="13">
        <v>15</v>
      </c>
      <c r="O1005" s="15"/>
      <c r="P1005" s="6">
        <v>41645.106608796297</v>
      </c>
      <c r="Q1005" s="16" t="s">
        <v>662</v>
      </c>
      <c r="R1005" s="17" t="s">
        <v>5263</v>
      </c>
      <c r="S1005" s="11" t="s">
        <v>5264</v>
      </c>
      <c r="T1005" s="12"/>
      <c r="U1005" s="10" t="str">
        <f>HYPERLINK("https://pbs.twimg.com/profile_images/704654149468733440/okr78Tct.jpg","View")</f>
        <v>View</v>
      </c>
    </row>
    <row r="1006" spans="1:21" ht="30.6">
      <c r="A1006" s="6">
        <v>43425.843402777777</v>
      </c>
      <c r="B1006" s="7" t="str">
        <f>HYPERLINK("https://twitter.com/bertaisabel","@bertaisabel")</f>
        <v>@bertaisabel</v>
      </c>
      <c r="C1006" s="8" t="s">
        <v>5266</v>
      </c>
      <c r="D1006" s="9" t="s">
        <v>5267</v>
      </c>
      <c r="E1006" s="10" t="str">
        <f>HYPERLINK("https://twitter.com/bertaisabel/status/1065322578175131648","1065322578175131648")</f>
        <v>1065322578175131648</v>
      </c>
      <c r="F1006" s="11" t="s">
        <v>4488</v>
      </c>
      <c r="G1006" s="12"/>
      <c r="H1006" s="12"/>
      <c r="I1006" s="13">
        <v>0</v>
      </c>
      <c r="J1006" s="13">
        <v>0</v>
      </c>
      <c r="K1006" s="14" t="str">
        <f>HYPERLINK("https://www.google.com/","Google")</f>
        <v>Google</v>
      </c>
      <c r="L1006" s="13">
        <v>1864</v>
      </c>
      <c r="M1006" s="13">
        <v>4991</v>
      </c>
      <c r="N1006" s="13">
        <v>64</v>
      </c>
      <c r="O1006" s="15"/>
      <c r="P1006" s="6">
        <v>39548.665821759263</v>
      </c>
      <c r="Q1006" s="16" t="s">
        <v>5268</v>
      </c>
      <c r="R1006" s="17" t="s">
        <v>5269</v>
      </c>
      <c r="S1006" s="11" t="s">
        <v>5270</v>
      </c>
      <c r="T1006" s="12"/>
      <c r="U1006" s="10" t="str">
        <f>HYPERLINK("https://pbs.twimg.com/profile_images/1055051192877940736/xfshMG5N.jpg","View")</f>
        <v>View</v>
      </c>
    </row>
    <row r="1007" spans="1:21" ht="40.799999999999997">
      <c r="A1007" s="6">
        <v>43425.841932870375</v>
      </c>
      <c r="B1007" s="7" t="str">
        <f>HYPERLINK("https://twitter.com/Flakolo83","@Flakolo83")</f>
        <v>@Flakolo83</v>
      </c>
      <c r="C1007" s="8" t="s">
        <v>2566</v>
      </c>
      <c r="D1007" s="9" t="s">
        <v>2567</v>
      </c>
      <c r="E1007" s="10" t="str">
        <f>HYPERLINK("https://twitter.com/Flakolo83/status/1065322047155380224","1065322047155380224")</f>
        <v>1065322047155380224</v>
      </c>
      <c r="F1007" s="16" t="s">
        <v>2570</v>
      </c>
      <c r="G1007" s="11" t="s">
        <v>2571</v>
      </c>
      <c r="H1007" s="12"/>
      <c r="I1007" s="13">
        <v>0</v>
      </c>
      <c r="J1007" s="13">
        <v>0</v>
      </c>
      <c r="K1007" s="14" t="str">
        <f t="shared" ref="K1007:K1008" si="210">HYPERLINK("http://twitter.com/download/android","Twitter for Android")</f>
        <v>Twitter for Android</v>
      </c>
      <c r="L1007" s="13">
        <v>286</v>
      </c>
      <c r="M1007" s="13">
        <v>218</v>
      </c>
      <c r="N1007" s="13">
        <v>10</v>
      </c>
      <c r="O1007" s="15"/>
      <c r="P1007" s="6">
        <v>41066.595949074072</v>
      </c>
      <c r="Q1007" s="16" t="s">
        <v>2572</v>
      </c>
      <c r="R1007" s="17" t="s">
        <v>2573</v>
      </c>
      <c r="S1007" s="12"/>
      <c r="T1007" s="12"/>
      <c r="U1007" s="10" t="str">
        <f>HYPERLINK("https://pbs.twimg.com/profile_images/883992190782976001/s1UGlZFU.jpg","View")</f>
        <v>View</v>
      </c>
    </row>
    <row r="1008" spans="1:21" ht="20.399999999999999">
      <c r="A1008" s="6">
        <v>43425.840451388889</v>
      </c>
      <c r="B1008" s="7" t="str">
        <f>HYPERLINK("https://twitter.com/AragornDeMordor","@AragornDeMordor")</f>
        <v>@AragornDeMordor</v>
      </c>
      <c r="C1008" s="8" t="s">
        <v>5273</v>
      </c>
      <c r="D1008" s="9" t="s">
        <v>5274</v>
      </c>
      <c r="E1008" s="10" t="str">
        <f>HYPERLINK("https://twitter.com/AragornDeMordor/status/1065321510158680065","1065321510158680065")</f>
        <v>1065321510158680065</v>
      </c>
      <c r="F1008" s="12"/>
      <c r="G1008" s="12"/>
      <c r="H1008" s="12"/>
      <c r="I1008" s="13">
        <v>0</v>
      </c>
      <c r="J1008" s="13">
        <v>1</v>
      </c>
      <c r="K1008" s="14" t="str">
        <f t="shared" si="210"/>
        <v>Twitter for Android</v>
      </c>
      <c r="L1008" s="13">
        <v>3370</v>
      </c>
      <c r="M1008" s="13">
        <v>889</v>
      </c>
      <c r="N1008" s="13">
        <v>57</v>
      </c>
      <c r="O1008" s="15"/>
      <c r="P1008" s="6">
        <v>40792.658101851848</v>
      </c>
      <c r="Q1008" s="12"/>
      <c r="R1008" s="17" t="s">
        <v>5276</v>
      </c>
      <c r="S1008" s="12"/>
      <c r="T1008" s="12"/>
      <c r="U1008" s="10" t="str">
        <f>HYPERLINK("https://pbs.twimg.com/profile_images/962603206307086336/ASObDFQj.jpg","View")</f>
        <v>View</v>
      </c>
    </row>
    <row r="1009" spans="1:21" ht="71.400000000000006">
      <c r="A1009" s="6">
        <v>43425.837974537033</v>
      </c>
      <c r="B1009" s="7" t="str">
        <f>HYPERLINK("https://twitter.com/alenkhat","@alenkhat")</f>
        <v>@alenkhat</v>
      </c>
      <c r="C1009" s="8" t="s">
        <v>599</v>
      </c>
      <c r="D1009" s="9" t="s">
        <v>2574</v>
      </c>
      <c r="E1009" s="10" t="str">
        <f>HYPERLINK("https://twitter.com/alenkhat/status/1065320613500338181","1065320613500338181")</f>
        <v>1065320613500338181</v>
      </c>
      <c r="F1009" s="11" t="s">
        <v>2577</v>
      </c>
      <c r="G1009" s="11" t="s">
        <v>2578</v>
      </c>
      <c r="H1009" s="12"/>
      <c r="I1009" s="13">
        <v>0</v>
      </c>
      <c r="J1009" s="13">
        <v>0</v>
      </c>
      <c r="K1009" s="14" t="str">
        <f>HYPERLINK("http://twitter.com/download/iphone","Twitter for iPhone")</f>
        <v>Twitter for iPhone</v>
      </c>
      <c r="L1009" s="13">
        <v>280</v>
      </c>
      <c r="M1009" s="13">
        <v>264</v>
      </c>
      <c r="N1009" s="13">
        <v>3</v>
      </c>
      <c r="O1009" s="15"/>
      <c r="P1009" s="6">
        <v>40440.711400462962</v>
      </c>
      <c r="Q1009" s="16" t="s">
        <v>602</v>
      </c>
      <c r="R1009" s="17" t="s">
        <v>603</v>
      </c>
      <c r="S1009" s="12"/>
      <c r="T1009" s="12"/>
      <c r="U1009" s="10" t="str">
        <f>HYPERLINK("https://pbs.twimg.com/profile_images/928196957088174080/Oql4OpaB.jpg","View")</f>
        <v>View</v>
      </c>
    </row>
    <row r="1010" spans="1:21" ht="20.399999999999999">
      <c r="A1010" s="6">
        <v>43425.835787037038</v>
      </c>
      <c r="B1010" s="7" t="str">
        <f>HYPERLINK("https://twitter.com/AlejandroHervas","@AlejandroHervas")</f>
        <v>@AlejandroHervas</v>
      </c>
      <c r="C1010" s="8" t="s">
        <v>5283</v>
      </c>
      <c r="D1010" s="9" t="s">
        <v>1963</v>
      </c>
      <c r="E1010" s="10" t="str">
        <f>HYPERLINK("https://twitter.com/AlejandroHervas/status/1065319820185481216","1065319820185481216")</f>
        <v>1065319820185481216</v>
      </c>
      <c r="F1010" s="11" t="s">
        <v>5284</v>
      </c>
      <c r="G1010" s="12"/>
      <c r="H1010" s="12"/>
      <c r="I1010" s="13">
        <v>0</v>
      </c>
      <c r="J1010" s="13">
        <v>0</v>
      </c>
      <c r="K1010" s="14" t="str">
        <f>HYPERLINK("https://play.google.com/store/apps/details?id=com.arthurivanets.owly","Оwly")</f>
        <v>Оwly</v>
      </c>
      <c r="L1010" s="13">
        <v>30</v>
      </c>
      <c r="M1010" s="13">
        <v>38</v>
      </c>
      <c r="N1010" s="13">
        <v>1</v>
      </c>
      <c r="O1010" s="15"/>
      <c r="P1010" s="6">
        <v>40581.809525462959</v>
      </c>
      <c r="Q1010" s="16" t="s">
        <v>75</v>
      </c>
      <c r="R1010" s="17" t="s">
        <v>5286</v>
      </c>
      <c r="S1010" s="11" t="s">
        <v>5287</v>
      </c>
      <c r="T1010" s="12"/>
      <c r="U1010" s="10" t="str">
        <f>HYPERLINK("https://pbs.twimg.com/profile_images/1050036705221337089/8IdWU9XT.jpg","View")</f>
        <v>View</v>
      </c>
    </row>
    <row r="1011" spans="1:21" ht="51">
      <c r="A1011" s="6">
        <v>43425.834027777775</v>
      </c>
      <c r="B1011" s="7" t="str">
        <f>HYPERLINK("https://twitter.com/bitMomentum","@bitMomentum")</f>
        <v>@bitMomentum</v>
      </c>
      <c r="C1011" s="8" t="s">
        <v>706</v>
      </c>
      <c r="D1011" s="9" t="s">
        <v>2580</v>
      </c>
      <c r="E1011" s="10" t="str">
        <f>HYPERLINK("https://twitter.com/bitMomentum/status/1065319181334261760","1065319181334261760")</f>
        <v>1065319181334261760</v>
      </c>
      <c r="F1011" s="12"/>
      <c r="G1011" s="12"/>
      <c r="H1011" s="12"/>
      <c r="I1011" s="13">
        <v>0</v>
      </c>
      <c r="J1011" s="13">
        <v>0</v>
      </c>
      <c r="K1011" s="14" t="str">
        <f>HYPERLINK("http://www.bitmomentum.com","bitMomentum Bot")</f>
        <v>bitMomentum Bot</v>
      </c>
      <c r="L1011" s="13">
        <v>10132</v>
      </c>
      <c r="M1011" s="13">
        <v>1060</v>
      </c>
      <c r="N1011" s="13">
        <v>262</v>
      </c>
      <c r="O1011" s="15"/>
      <c r="P1011" s="6">
        <v>41608.667511574073</v>
      </c>
      <c r="Q1011" s="12"/>
      <c r="R1011" s="17" t="s">
        <v>708</v>
      </c>
      <c r="S1011" s="11" t="s">
        <v>709</v>
      </c>
      <c r="T1011" s="12"/>
      <c r="U1011" s="10" t="str">
        <f>HYPERLINK("https://pbs.twimg.com/profile_images/378800000862185241/20ij2H3u.png","View")</f>
        <v>View</v>
      </c>
    </row>
    <row r="1012" spans="1:21" ht="20.399999999999999">
      <c r="A1012" s="6">
        <v>43425.833599537036</v>
      </c>
      <c r="B1012" s="7" t="str">
        <f>HYPERLINK("https://twitter.com/hisomatemps","@hisomatemps")</f>
        <v>@hisomatemps</v>
      </c>
      <c r="C1012" s="8" t="s">
        <v>5290</v>
      </c>
      <c r="D1012" s="9" t="s">
        <v>4593</v>
      </c>
      <c r="E1012" s="10" t="str">
        <f>HYPERLINK("https://twitter.com/hisomatemps/status/1065319027621457920","1065319027621457920")</f>
        <v>1065319027621457920</v>
      </c>
      <c r="F1012" s="11" t="s">
        <v>5291</v>
      </c>
      <c r="G1012" s="11" t="s">
        <v>5292</v>
      </c>
      <c r="H1012" s="12"/>
      <c r="I1012" s="13">
        <v>2</v>
      </c>
      <c r="J1012" s="13">
        <v>1</v>
      </c>
      <c r="K1012" s="14" t="str">
        <f>HYPERLINK("http://publicize.wp.com/","WordPress.com")</f>
        <v>WordPress.com</v>
      </c>
      <c r="L1012" s="13">
        <v>3914</v>
      </c>
      <c r="M1012" s="13">
        <v>0</v>
      </c>
      <c r="N1012" s="13">
        <v>68</v>
      </c>
      <c r="O1012" s="15"/>
      <c r="P1012" s="6">
        <v>41178.826909722222</v>
      </c>
      <c r="Q1012" s="16" t="s">
        <v>2952</v>
      </c>
      <c r="R1012" s="17" t="s">
        <v>5295</v>
      </c>
      <c r="S1012" s="11" t="s">
        <v>5296</v>
      </c>
      <c r="T1012" s="12"/>
      <c r="U1012" s="10" t="str">
        <f>HYPERLINK("https://pbs.twimg.com/profile_images/786592912150827008/KRUPVJJ3.jpg","View")</f>
        <v>View</v>
      </c>
    </row>
    <row r="1013" spans="1:21" ht="30.6">
      <c r="A1013" s="6">
        <v>43425.833333333328</v>
      </c>
      <c r="B1013" s="7" t="str">
        <f>HYPERLINK("https://twitter.com/COPE","@COPE")</f>
        <v>@COPE</v>
      </c>
      <c r="C1013" s="8" t="s">
        <v>2586</v>
      </c>
      <c r="D1013" s="9" t="s">
        <v>2587</v>
      </c>
      <c r="E1013" s="10" t="str">
        <f>HYPERLINK("https://twitter.com/COPE/status/1065318932326830080","1065318932326830080")</f>
        <v>1065318932326830080</v>
      </c>
      <c r="F1013" s="11" t="s">
        <v>2588</v>
      </c>
      <c r="G1013" s="12"/>
      <c r="H1013" s="12"/>
      <c r="I1013" s="13">
        <v>11</v>
      </c>
      <c r="J1013" s="13">
        <v>27</v>
      </c>
      <c r="K1013" s="14" t="str">
        <f>HYPERLINK("http://dogtrack.es","DogTrack_Oficial")</f>
        <v>DogTrack_Oficial</v>
      </c>
      <c r="L1013" s="13">
        <v>352773</v>
      </c>
      <c r="M1013" s="13">
        <v>149</v>
      </c>
      <c r="N1013" s="13">
        <v>3087</v>
      </c>
      <c r="O1013" s="18" t="s">
        <v>36</v>
      </c>
      <c r="P1013" s="6">
        <v>39381.538321759261</v>
      </c>
      <c r="Q1013" s="16" t="s">
        <v>118</v>
      </c>
      <c r="R1013" s="17" t="s">
        <v>2589</v>
      </c>
      <c r="S1013" s="11" t="s">
        <v>2590</v>
      </c>
      <c r="T1013" s="12"/>
      <c r="U1013" s="10" t="str">
        <f>HYPERLINK("https://pbs.twimg.com/profile_images/1063097716031533059/yAe1j-56.jpg","View")</f>
        <v>View</v>
      </c>
    </row>
    <row r="1014" spans="1:21" ht="20.399999999999999">
      <c r="A1014" s="6">
        <v>43425.833148148144</v>
      </c>
      <c r="B1014" s="7" t="str">
        <f t="shared" ref="B1014:B1015" si="211">HYPERLINK("https://twitter.com/ConsuG64","@ConsuG64")</f>
        <v>@ConsuG64</v>
      </c>
      <c r="C1014" s="8" t="s">
        <v>3922</v>
      </c>
      <c r="D1014" s="9" t="s">
        <v>5300</v>
      </c>
      <c r="E1014" s="10" t="str">
        <f>HYPERLINK("https://twitter.com/ConsuG64/status/1065318865520001027","1065318865520001027")</f>
        <v>1065318865520001027</v>
      </c>
      <c r="F1014" s="11" t="s">
        <v>557</v>
      </c>
      <c r="G1014" s="12"/>
      <c r="H1014" s="12"/>
      <c r="I1014" s="13">
        <v>0</v>
      </c>
      <c r="J1014" s="13">
        <v>0</v>
      </c>
      <c r="K1014" s="14" t="str">
        <f t="shared" ref="K1014:K1015" si="212">HYPERLINK("http://twitter.com/download/iphone","Twitter for iPhone")</f>
        <v>Twitter for iPhone</v>
      </c>
      <c r="L1014" s="13">
        <v>2793</v>
      </c>
      <c r="M1014" s="13">
        <v>1965</v>
      </c>
      <c r="N1014" s="13">
        <v>22</v>
      </c>
      <c r="O1014" s="15"/>
      <c r="P1014" s="6">
        <v>40612.874768518523</v>
      </c>
      <c r="Q1014" s="16" t="s">
        <v>3926</v>
      </c>
      <c r="R1014" s="17" t="s">
        <v>3927</v>
      </c>
      <c r="S1014" s="11" t="s">
        <v>3928</v>
      </c>
      <c r="T1014" s="12"/>
      <c r="U1014" s="10" t="str">
        <f t="shared" ref="U1014:U1015" si="213">HYPERLINK("https://pbs.twimg.com/profile_images/1054046008735420417/OmdbLQcI.jpg","View")</f>
        <v>View</v>
      </c>
    </row>
    <row r="1015" spans="1:21" ht="20.399999999999999">
      <c r="A1015" s="6">
        <v>43425.832905092597</v>
      </c>
      <c r="B1015" s="7" t="str">
        <f t="shared" si="211"/>
        <v>@ConsuG64</v>
      </c>
      <c r="C1015" s="8" t="s">
        <v>3922</v>
      </c>
      <c r="D1015" s="9" t="s">
        <v>4528</v>
      </c>
      <c r="E1015" s="10" t="str">
        <f>HYPERLINK("https://twitter.com/ConsuG64/status/1065318775065583616","1065318775065583616")</f>
        <v>1065318775065583616</v>
      </c>
      <c r="F1015" s="11" t="s">
        <v>1228</v>
      </c>
      <c r="G1015" s="12"/>
      <c r="H1015" s="12"/>
      <c r="I1015" s="13">
        <v>0</v>
      </c>
      <c r="J1015" s="13">
        <v>0</v>
      </c>
      <c r="K1015" s="14" t="str">
        <f t="shared" si="212"/>
        <v>Twitter for iPhone</v>
      </c>
      <c r="L1015" s="13">
        <v>2793</v>
      </c>
      <c r="M1015" s="13">
        <v>1965</v>
      </c>
      <c r="N1015" s="13">
        <v>22</v>
      </c>
      <c r="O1015" s="15"/>
      <c r="P1015" s="6">
        <v>40612.874768518523</v>
      </c>
      <c r="Q1015" s="16" t="s">
        <v>3926</v>
      </c>
      <c r="R1015" s="17" t="s">
        <v>3927</v>
      </c>
      <c r="S1015" s="11" t="s">
        <v>3928</v>
      </c>
      <c r="T1015" s="12"/>
      <c r="U1015" s="10" t="str">
        <f t="shared" si="213"/>
        <v>View</v>
      </c>
    </row>
    <row r="1016" spans="1:21" ht="71.400000000000006">
      <c r="A1016" s="6">
        <v>43425.832349537042</v>
      </c>
      <c r="B1016" s="7" t="str">
        <f>HYPERLINK("https://twitter.com/lucllg","@lucllg")</f>
        <v>@lucllg</v>
      </c>
      <c r="C1016" s="8" t="s">
        <v>2591</v>
      </c>
      <c r="D1016" s="9" t="s">
        <v>2592</v>
      </c>
      <c r="E1016" s="10" t="str">
        <f>HYPERLINK("https://twitter.com/lucllg/status/1065318576503033858","1065318576503033858")</f>
        <v>1065318576503033858</v>
      </c>
      <c r="F1016" s="16" t="s">
        <v>2593</v>
      </c>
      <c r="G1016" s="12"/>
      <c r="H1016" s="12"/>
      <c r="I1016" s="13">
        <v>4</v>
      </c>
      <c r="J1016" s="13">
        <v>5</v>
      </c>
      <c r="K1016" s="14" t="str">
        <f>HYPERLINK("http://twitter.com/download/android","Twitter for Android")</f>
        <v>Twitter for Android</v>
      </c>
      <c r="L1016" s="13">
        <v>341</v>
      </c>
      <c r="M1016" s="13">
        <v>526</v>
      </c>
      <c r="N1016" s="13">
        <v>5</v>
      </c>
      <c r="O1016" s="15"/>
      <c r="P1016" s="6">
        <v>40735.900925925926</v>
      </c>
      <c r="Q1016" s="16" t="s">
        <v>2595</v>
      </c>
      <c r="R1016" s="17" t="s">
        <v>2596</v>
      </c>
      <c r="S1016" s="12"/>
      <c r="T1016" s="12"/>
      <c r="U1016" s="10" t="str">
        <f>HYPERLINK("https://pbs.twimg.com/profile_images/1036722151334846469/EQxyahQ8.jpg","View")</f>
        <v>View</v>
      </c>
    </row>
    <row r="1017" spans="1:21" ht="40.799999999999997">
      <c r="A1017" s="6">
        <v>43425.832037037035</v>
      </c>
      <c r="B1017" s="7" t="str">
        <f>HYPERLINK("https://twitter.com/InmaLaricitos","@InmaLaricitos")</f>
        <v>@InmaLaricitos</v>
      </c>
      <c r="C1017" s="8" t="s">
        <v>58</v>
      </c>
      <c r="D1017" s="9" t="s">
        <v>5304</v>
      </c>
      <c r="E1017" s="10" t="str">
        <f>HYPERLINK("https://twitter.com/InmaLaricitos/status/1065318459809169413","1065318459809169413")</f>
        <v>1065318459809169413</v>
      </c>
      <c r="F1017" s="12"/>
      <c r="G1017" s="11" t="s">
        <v>5305</v>
      </c>
      <c r="H1017" s="12"/>
      <c r="I1017" s="13">
        <v>0</v>
      </c>
      <c r="J1017" s="13">
        <v>0</v>
      </c>
      <c r="K1017" s="14" t="str">
        <f>HYPERLINK("http://twitter.com","Twitter Web Client")</f>
        <v>Twitter Web Client</v>
      </c>
      <c r="L1017" s="13">
        <v>113</v>
      </c>
      <c r="M1017" s="13">
        <v>467</v>
      </c>
      <c r="N1017" s="13">
        <v>2</v>
      </c>
      <c r="O1017" s="15"/>
      <c r="P1017" s="6">
        <v>42004.514884259261</v>
      </c>
      <c r="Q1017" s="16" t="s">
        <v>37</v>
      </c>
      <c r="R1017" s="17" t="s">
        <v>60</v>
      </c>
      <c r="S1017" s="12"/>
      <c r="T1017" s="12"/>
      <c r="U1017" s="10" t="str">
        <f>HYPERLINK("https://pbs.twimg.com/profile_images/853328273614491648/vetlC82F.jpg","View")</f>
        <v>View</v>
      </c>
    </row>
    <row r="1018" spans="1:21" ht="40.799999999999997">
      <c r="A1018" s="6">
        <v>43425.831712962958</v>
      </c>
      <c r="B1018" s="7" t="str">
        <f>HYPERLINK("https://twitter.com/publico_es","@publico_es")</f>
        <v>@publico_es</v>
      </c>
      <c r="C1018" s="8" t="s">
        <v>2597</v>
      </c>
      <c r="D1018" s="9" t="s">
        <v>2598</v>
      </c>
      <c r="E1018" s="10" t="str">
        <f>HYPERLINK("https://twitter.com/publico_es/status/1065318342850793472","1065318342850793472")</f>
        <v>1065318342850793472</v>
      </c>
      <c r="F1018" s="11" t="s">
        <v>2599</v>
      </c>
      <c r="G1018" s="11" t="s">
        <v>2601</v>
      </c>
      <c r="H1018" s="12"/>
      <c r="I1018" s="13">
        <v>52</v>
      </c>
      <c r="J1018" s="13">
        <v>29</v>
      </c>
      <c r="K1018" s="14" t="str">
        <f>HYPERLINK("http://snappytv.com","SnappyTV.com")</f>
        <v>SnappyTV.com</v>
      </c>
      <c r="L1018" s="13">
        <v>911012</v>
      </c>
      <c r="M1018" s="13">
        <v>1455</v>
      </c>
      <c r="N1018" s="13">
        <v>14825</v>
      </c>
      <c r="O1018" s="18" t="s">
        <v>36</v>
      </c>
      <c r="P1018" s="6">
        <v>39779.559525462959</v>
      </c>
      <c r="Q1018" s="16" t="s">
        <v>440</v>
      </c>
      <c r="R1018" s="17" t="s">
        <v>2602</v>
      </c>
      <c r="S1018" s="11" t="s">
        <v>2603</v>
      </c>
      <c r="T1018" s="12"/>
      <c r="U1018" s="10" t="str">
        <f>HYPERLINK("https://pbs.twimg.com/profile_images/1048242435682422786/FdzZWHU8.jpg","View")</f>
        <v>View</v>
      </c>
    </row>
    <row r="1019" spans="1:21" ht="30.6">
      <c r="A1019" s="6">
        <v>43425.831504629634</v>
      </c>
      <c r="B1019" s="7" t="str">
        <f>HYPERLINK("https://twitter.com/Albert_Rivera","@Albert_Rivera")</f>
        <v>@Albert_Rivera</v>
      </c>
      <c r="C1019" s="8" t="s">
        <v>389</v>
      </c>
      <c r="D1019" s="9" t="s">
        <v>5310</v>
      </c>
      <c r="E1019" s="10" t="str">
        <f>HYPERLINK("https://twitter.com/Albert_Rivera/status/1065318268855099393","1065318268855099393")</f>
        <v>1065318268855099393</v>
      </c>
      <c r="F1019" s="11" t="s">
        <v>5312</v>
      </c>
      <c r="G1019" s="12"/>
      <c r="H1019" s="12"/>
      <c r="I1019" s="13">
        <v>611</v>
      </c>
      <c r="J1019" s="13">
        <v>1095</v>
      </c>
      <c r="K1019" s="14" t="str">
        <f>HYPERLINK("http://twitter.com/download/iphone","Twitter for iPhone")</f>
        <v>Twitter for iPhone</v>
      </c>
      <c r="L1019" s="13">
        <v>1071530</v>
      </c>
      <c r="M1019" s="13">
        <v>2545</v>
      </c>
      <c r="N1019" s="13">
        <v>5104</v>
      </c>
      <c r="O1019" s="18" t="s">
        <v>36</v>
      </c>
      <c r="P1019" s="6">
        <v>40205.748171296298</v>
      </c>
      <c r="Q1019" s="16" t="s">
        <v>37</v>
      </c>
      <c r="R1019" s="17" t="s">
        <v>393</v>
      </c>
      <c r="S1019" s="11" t="s">
        <v>394</v>
      </c>
      <c r="T1019" s="12"/>
      <c r="U1019" s="10" t="str">
        <f>HYPERLINK("https://pbs.twimg.com/profile_images/1030708936779988993/RncDM4EZ.jpg","View")</f>
        <v>View</v>
      </c>
    </row>
    <row r="1020" spans="1:21" ht="20.399999999999999">
      <c r="A1020" s="6">
        <v>43425.830578703702</v>
      </c>
      <c r="B1020" s="7" t="str">
        <f t="shared" ref="B1020:B1021" si="214">HYPERLINK("https://twitter.com/pascalgiovanni4","@pascalgiovanni4")</f>
        <v>@pascalgiovanni4</v>
      </c>
      <c r="C1020" s="8" t="s">
        <v>5314</v>
      </c>
      <c r="D1020" s="9" t="s">
        <v>5088</v>
      </c>
      <c r="E1020" s="10" t="str">
        <f>HYPERLINK("https://twitter.com/pascalgiovanni4/status/1065317934891974656","1065317934891974656")</f>
        <v>1065317934891974656</v>
      </c>
      <c r="F1020" s="11" t="s">
        <v>5316</v>
      </c>
      <c r="G1020" s="12"/>
      <c r="H1020" s="12"/>
      <c r="I1020" s="13">
        <v>0</v>
      </c>
      <c r="J1020" s="13">
        <v>0</v>
      </c>
      <c r="K1020" s="14" t="str">
        <f>HYPERLINK("http://www.facebook.com/twitter","Facebook")</f>
        <v>Facebook</v>
      </c>
      <c r="L1020" s="13">
        <v>230</v>
      </c>
      <c r="M1020" s="13">
        <v>878</v>
      </c>
      <c r="N1020" s="13">
        <v>1</v>
      </c>
      <c r="O1020" s="15"/>
      <c r="P1020" s="6">
        <v>42771.716331018513</v>
      </c>
      <c r="Q1020" s="16" t="s">
        <v>5317</v>
      </c>
      <c r="R1020" s="19"/>
      <c r="S1020" s="12"/>
      <c r="T1020" s="12"/>
      <c r="U1020" s="10" t="str">
        <f t="shared" ref="U1020:U1021" si="215">HYPERLINK("https://pbs.twimg.com/profile_images/842758117733683201/c_namZex.jpg","View")</f>
        <v>View</v>
      </c>
    </row>
    <row r="1021" spans="1:21" ht="20.399999999999999">
      <c r="A1021" s="6">
        <v>43425.830347222218</v>
      </c>
      <c r="B1021" s="7" t="str">
        <f t="shared" si="214"/>
        <v>@pascalgiovanni4</v>
      </c>
      <c r="C1021" s="8" t="s">
        <v>5314</v>
      </c>
      <c r="D1021" s="9" t="s">
        <v>5320</v>
      </c>
      <c r="E1021" s="10" t="str">
        <f>HYPERLINK("https://twitter.com/pascalgiovanni4/status/1065317850439708673","1065317850439708673")</f>
        <v>1065317850439708673</v>
      </c>
      <c r="F1021" s="11" t="s">
        <v>5253</v>
      </c>
      <c r="G1021" s="12"/>
      <c r="H1021" s="12"/>
      <c r="I1021" s="13">
        <v>0</v>
      </c>
      <c r="J1021" s="13">
        <v>0</v>
      </c>
      <c r="K1021" s="14" t="str">
        <f>HYPERLINK("http://twitter.com","Twitter Web Client")</f>
        <v>Twitter Web Client</v>
      </c>
      <c r="L1021" s="13">
        <v>230</v>
      </c>
      <c r="M1021" s="13">
        <v>878</v>
      </c>
      <c r="N1021" s="13">
        <v>1</v>
      </c>
      <c r="O1021" s="15"/>
      <c r="P1021" s="6">
        <v>42771.716331018513</v>
      </c>
      <c r="Q1021" s="16" t="s">
        <v>5317</v>
      </c>
      <c r="R1021" s="19"/>
      <c r="S1021" s="12"/>
      <c r="T1021" s="12"/>
      <c r="U1021" s="10" t="str">
        <f t="shared" si="215"/>
        <v>View</v>
      </c>
    </row>
    <row r="1022" spans="1:21" ht="30.6">
      <c r="A1022" s="6">
        <v>43425.830243055556</v>
      </c>
      <c r="B1022" s="7" t="str">
        <f>HYPERLINK("https://twitter.com/leandrosm31","@leandrosm31")</f>
        <v>@leandrosm31</v>
      </c>
      <c r="C1022" s="8" t="s">
        <v>5325</v>
      </c>
      <c r="D1022" s="9" t="s">
        <v>5326</v>
      </c>
      <c r="E1022" s="10" t="str">
        <f>HYPERLINK("https://twitter.com/leandrosm31/status/1065317813089435650","1065317813089435650")</f>
        <v>1065317813089435650</v>
      </c>
      <c r="F1022" s="11" t="s">
        <v>1700</v>
      </c>
      <c r="G1022" s="12"/>
      <c r="H1022" s="12"/>
      <c r="I1022" s="13">
        <v>0</v>
      </c>
      <c r="J1022" s="13">
        <v>0</v>
      </c>
      <c r="K1022" s="14" t="str">
        <f t="shared" ref="K1022:K1023" si="216">HYPERLINK("http://twitter.com/download/android","Twitter for Android")</f>
        <v>Twitter for Android</v>
      </c>
      <c r="L1022" s="13">
        <v>1813</v>
      </c>
      <c r="M1022" s="13">
        <v>2055</v>
      </c>
      <c r="N1022" s="13">
        <v>5</v>
      </c>
      <c r="O1022" s="15"/>
      <c r="P1022" s="6">
        <v>43028.957638888889</v>
      </c>
      <c r="Q1022" s="12"/>
      <c r="R1022" s="19"/>
      <c r="S1022" s="12"/>
      <c r="T1022" s="12"/>
      <c r="U1022" s="10" t="str">
        <f>HYPERLINK("https://pbs.twimg.com/profile_images/924518683430604800/vCjgdbu3.jpg","View")</f>
        <v>View</v>
      </c>
    </row>
    <row r="1023" spans="1:21" ht="71.400000000000006">
      <c r="A1023" s="6">
        <v>43425.830185185187</v>
      </c>
      <c r="B1023" s="7" t="str">
        <f>HYPERLINK("https://twitter.com/juansmorales","@juansmorales")</f>
        <v>@juansmorales</v>
      </c>
      <c r="C1023" s="8" t="s">
        <v>2604</v>
      </c>
      <c r="D1023" s="9" t="s">
        <v>2605</v>
      </c>
      <c r="E1023" s="10" t="str">
        <f>HYPERLINK("https://twitter.com/juansmorales/status/1065317788816953344","1065317788816953344")</f>
        <v>1065317788816953344</v>
      </c>
      <c r="F1023" s="12"/>
      <c r="G1023" s="12"/>
      <c r="H1023" s="12"/>
      <c r="I1023" s="13">
        <v>4</v>
      </c>
      <c r="J1023" s="13">
        <v>4</v>
      </c>
      <c r="K1023" s="14" t="str">
        <f t="shared" si="216"/>
        <v>Twitter for Android</v>
      </c>
      <c r="L1023" s="13">
        <v>2109</v>
      </c>
      <c r="M1023" s="13">
        <v>2823</v>
      </c>
      <c r="N1023" s="13">
        <v>26</v>
      </c>
      <c r="O1023" s="15"/>
      <c r="P1023" s="6">
        <v>41030.660520833335</v>
      </c>
      <c r="Q1023" s="16" t="s">
        <v>2606</v>
      </c>
      <c r="R1023" s="17" t="s">
        <v>2607</v>
      </c>
      <c r="S1023" s="11" t="s">
        <v>2608</v>
      </c>
      <c r="T1023" s="12"/>
      <c r="U1023" s="10" t="str">
        <f>HYPERLINK("https://pbs.twimg.com/profile_images/988899842486390784/yh8PijGS.jpg","View")</f>
        <v>View</v>
      </c>
    </row>
    <row r="1024" spans="1:21" ht="61.2">
      <c r="A1024" s="6">
        <v>43425.829768518517</v>
      </c>
      <c r="B1024" s="7" t="str">
        <f>HYPERLINK("https://twitter.com/mariogimeno","@mariogimeno")</f>
        <v>@mariogimeno</v>
      </c>
      <c r="C1024" s="8" t="s">
        <v>2609</v>
      </c>
      <c r="D1024" s="9" t="s">
        <v>2610</v>
      </c>
      <c r="E1024" s="10" t="str">
        <f>HYPERLINK("https://twitter.com/mariogimeno/status/1065317641013944322","1065317641013944322")</f>
        <v>1065317641013944322</v>
      </c>
      <c r="F1024" s="11" t="s">
        <v>2611</v>
      </c>
      <c r="G1024" s="11" t="s">
        <v>2612</v>
      </c>
      <c r="H1024" s="12"/>
      <c r="I1024" s="13">
        <v>0</v>
      </c>
      <c r="J1024" s="13">
        <v>0</v>
      </c>
      <c r="K1024" s="14" t="str">
        <f>HYPERLINK("http://twitter.com/download/iphone","Twitter for iPhone")</f>
        <v>Twitter for iPhone</v>
      </c>
      <c r="L1024" s="13">
        <v>811</v>
      </c>
      <c r="M1024" s="13">
        <v>1238</v>
      </c>
      <c r="N1024" s="13">
        <v>19</v>
      </c>
      <c r="O1024" s="15"/>
      <c r="P1024" s="6">
        <v>40498.601111111115</v>
      </c>
      <c r="Q1024" s="16" t="s">
        <v>2613</v>
      </c>
      <c r="R1024" s="17" t="s">
        <v>2614</v>
      </c>
      <c r="S1024" s="11" t="s">
        <v>2615</v>
      </c>
      <c r="T1024" s="12"/>
      <c r="U1024" s="10" t="str">
        <f>HYPERLINK("https://pbs.twimg.com/profile_images/924396683341033472/NXhpdJnJ.jpg","View")</f>
        <v>View</v>
      </c>
    </row>
    <row r="1025" spans="1:21" ht="51">
      <c r="A1025" s="6">
        <v>43425.828912037032</v>
      </c>
      <c r="B1025" s="7" t="str">
        <f>HYPERLINK("https://twitter.com/Abejorro69","@Abejorro69")</f>
        <v>@Abejorro69</v>
      </c>
      <c r="C1025" s="8" t="s">
        <v>5335</v>
      </c>
      <c r="D1025" s="9" t="s">
        <v>5336</v>
      </c>
      <c r="E1025" s="10" t="str">
        <f>HYPERLINK("https://twitter.com/Abejorro69/status/1065317330010423296","1065317330010423296")</f>
        <v>1065317330010423296</v>
      </c>
      <c r="F1025" s="12"/>
      <c r="G1025" s="12"/>
      <c r="H1025" s="12"/>
      <c r="I1025" s="13">
        <v>0</v>
      </c>
      <c r="J1025" s="13">
        <v>1</v>
      </c>
      <c r="K1025" s="14" t="str">
        <f>HYPERLINK("http://twitter.com","Twitter Web Client")</f>
        <v>Twitter Web Client</v>
      </c>
      <c r="L1025" s="13">
        <v>5061</v>
      </c>
      <c r="M1025" s="13">
        <v>3659</v>
      </c>
      <c r="N1025" s="13">
        <v>52</v>
      </c>
      <c r="O1025" s="15"/>
      <c r="P1025" s="6">
        <v>40208.748437499999</v>
      </c>
      <c r="Q1025" s="16" t="s">
        <v>5337</v>
      </c>
      <c r="R1025" s="19"/>
      <c r="S1025" s="12"/>
      <c r="T1025" s="12"/>
      <c r="U1025" s="10" t="str">
        <f>HYPERLINK("https://pbs.twimg.com/profile_images/994603644766031872/5ckiAlY2.jpg","View")</f>
        <v>View</v>
      </c>
    </row>
    <row r="1026" spans="1:21" ht="40.799999999999997">
      <c r="A1026" s="6">
        <v>43425.827361111107</v>
      </c>
      <c r="B1026" s="7" t="str">
        <f>HYPERLINK("https://twitter.com/Coordinadora25S","@Coordinadora25S")</f>
        <v>@Coordinadora25S</v>
      </c>
      <c r="C1026" s="8" t="s">
        <v>5338</v>
      </c>
      <c r="D1026" s="9" t="s">
        <v>5339</v>
      </c>
      <c r="E1026" s="10" t="str">
        <f>HYPERLINK("https://twitter.com/Coordinadora25S/status/1065316766044364807","1065316766044364807")</f>
        <v>1065316766044364807</v>
      </c>
      <c r="F1026" s="11" t="s">
        <v>5340</v>
      </c>
      <c r="G1026" s="11" t="s">
        <v>5341</v>
      </c>
      <c r="H1026" s="12"/>
      <c r="I1026" s="13">
        <v>15</v>
      </c>
      <c r="J1026" s="13">
        <v>7</v>
      </c>
      <c r="K1026" s="14" t="str">
        <f>HYPERLINK("https://www.hootsuite.com","Hootsuite Inc.")</f>
        <v>Hootsuite Inc.</v>
      </c>
      <c r="L1026" s="13">
        <v>39824</v>
      </c>
      <c r="M1026" s="13">
        <v>697</v>
      </c>
      <c r="N1026" s="13">
        <v>609</v>
      </c>
      <c r="O1026" s="15"/>
      <c r="P1026" s="6">
        <v>41146.811180555553</v>
      </c>
      <c r="Q1026" s="16" t="s">
        <v>118</v>
      </c>
      <c r="R1026" s="17" t="s">
        <v>5343</v>
      </c>
      <c r="S1026" s="11" t="s">
        <v>5344</v>
      </c>
      <c r="T1026" s="12"/>
      <c r="U1026" s="10" t="str">
        <f>HYPERLINK("https://pbs.twimg.com/profile_images/972108356251987968/dbI9CW2T.jpg","View")</f>
        <v>View</v>
      </c>
    </row>
    <row r="1027" spans="1:21" ht="91.8">
      <c r="A1027" s="6">
        <v>43425.826909722222</v>
      </c>
      <c r="B1027" s="7" t="str">
        <f>HYPERLINK("https://twitter.com/MonteLuz2","@MonteLuz2")</f>
        <v>@MonteLuz2</v>
      </c>
      <c r="C1027" s="8" t="s">
        <v>2616</v>
      </c>
      <c r="D1027" s="9" t="s">
        <v>2617</v>
      </c>
      <c r="E1027" s="10" t="str">
        <f>HYPERLINK("https://twitter.com/MonteLuz2/status/1065316604500680705","1065316604500680705")</f>
        <v>1065316604500680705</v>
      </c>
      <c r="F1027" s="16" t="s">
        <v>2618</v>
      </c>
      <c r="G1027" s="12"/>
      <c r="H1027" s="12"/>
      <c r="I1027" s="13">
        <v>0</v>
      </c>
      <c r="J1027" s="13">
        <v>1</v>
      </c>
      <c r="K1027" s="14" t="str">
        <f>HYPERLINK("http://twitter.com/download/iphone","Twitter for iPhone")</f>
        <v>Twitter for iPhone</v>
      </c>
      <c r="L1027" s="13">
        <v>109</v>
      </c>
      <c r="M1027" s="13">
        <v>319</v>
      </c>
      <c r="N1027" s="13">
        <v>0</v>
      </c>
      <c r="O1027" s="15"/>
      <c r="P1027" s="6">
        <v>41243.015972222223</v>
      </c>
      <c r="Q1027" s="16" t="s">
        <v>2619</v>
      </c>
      <c r="R1027" s="17" t="s">
        <v>2620</v>
      </c>
      <c r="S1027" s="12"/>
      <c r="T1027" s="12"/>
      <c r="U1027" s="10" t="str">
        <f>HYPERLINK("https://pbs.twimg.com/profile_images/2912613588/0c587ef70076ff6b090474020e1dc339.jpeg","View")</f>
        <v>View</v>
      </c>
    </row>
    <row r="1028" spans="1:21" ht="20.399999999999999">
      <c r="A1028" s="6">
        <v>43425.822951388887</v>
      </c>
      <c r="B1028" s="7" t="str">
        <f>HYPERLINK("https://twitter.com/Dm298565026","@Dm298565026")</f>
        <v>@Dm298565026</v>
      </c>
      <c r="C1028" s="8" t="s">
        <v>5301</v>
      </c>
      <c r="D1028" s="9" t="s">
        <v>5347</v>
      </c>
      <c r="E1028" s="10" t="str">
        <f>HYPERLINK("https://twitter.com/Dm298565026/status/1065315169151184903","1065315169151184903")</f>
        <v>1065315169151184903</v>
      </c>
      <c r="F1028" s="12"/>
      <c r="G1028" s="12"/>
      <c r="H1028" s="12"/>
      <c r="I1028" s="13">
        <v>0</v>
      </c>
      <c r="J1028" s="13">
        <v>0</v>
      </c>
      <c r="K1028" s="14" t="str">
        <f t="shared" ref="K1028:K1030" si="217">HYPERLINK("http://twitter.com/download/android","Twitter for Android")</f>
        <v>Twitter for Android</v>
      </c>
      <c r="L1028" s="13">
        <v>8</v>
      </c>
      <c r="M1028" s="13">
        <v>71</v>
      </c>
      <c r="N1028" s="13">
        <v>0</v>
      </c>
      <c r="O1028" s="15"/>
      <c r="P1028" s="6">
        <v>43394.008356481485</v>
      </c>
      <c r="Q1028" s="12"/>
      <c r="R1028" s="19"/>
      <c r="S1028" s="12"/>
      <c r="T1028" s="12"/>
      <c r="U1028" s="10" t="str">
        <f>HYPERLINK("https://pbs.twimg.com/profile_images/1053790730609721344/82TaTaHT.jpg","View")</f>
        <v>View</v>
      </c>
    </row>
    <row r="1029" spans="1:21" ht="51">
      <c r="A1029" s="6">
        <v>43425.819490740745</v>
      </c>
      <c r="B1029" s="7" t="str">
        <f>HYPERLINK("https://twitter.com/EdmondDantes71","@EdmondDantes71")</f>
        <v>@EdmondDantes71</v>
      </c>
      <c r="C1029" s="8" t="s">
        <v>2621</v>
      </c>
      <c r="D1029" s="9" t="s">
        <v>2622</v>
      </c>
      <c r="E1029" s="10" t="str">
        <f>HYPERLINK("https://twitter.com/EdmondDantes71/status/1065313914978779136","1065313914978779136")</f>
        <v>1065313914978779136</v>
      </c>
      <c r="F1029" s="16" t="s">
        <v>2623</v>
      </c>
      <c r="G1029" s="11" t="s">
        <v>65</v>
      </c>
      <c r="H1029" s="12"/>
      <c r="I1029" s="13">
        <v>0</v>
      </c>
      <c r="J1029" s="13">
        <v>0</v>
      </c>
      <c r="K1029" s="14" t="str">
        <f t="shared" si="217"/>
        <v>Twitter for Android</v>
      </c>
      <c r="L1029" s="13">
        <v>614</v>
      </c>
      <c r="M1029" s="13">
        <v>2197</v>
      </c>
      <c r="N1029" s="13">
        <v>5</v>
      </c>
      <c r="O1029" s="15"/>
      <c r="P1029" s="6">
        <v>41093.71739583333</v>
      </c>
      <c r="Q1029" s="16" t="s">
        <v>2626</v>
      </c>
      <c r="R1029" s="17" t="s">
        <v>2627</v>
      </c>
      <c r="S1029" s="12"/>
      <c r="T1029" s="12"/>
      <c r="U1029" s="10" t="str">
        <f>HYPERLINK("https://pbs.twimg.com/profile_images/1050407996101185537/ELEHoCRa.jpg","View")</f>
        <v>View</v>
      </c>
    </row>
    <row r="1030" spans="1:21" ht="51">
      <c r="A1030" s="6">
        <v>43425.819444444445</v>
      </c>
      <c r="B1030" s="7" t="str">
        <f>HYPERLINK("https://twitter.com/Lamorteratres","@Lamorteratres")</f>
        <v>@Lamorteratres</v>
      </c>
      <c r="C1030" s="8" t="s">
        <v>2630</v>
      </c>
      <c r="D1030" s="9" t="s">
        <v>2631</v>
      </c>
      <c r="E1030" s="10" t="str">
        <f>HYPERLINK("https://twitter.com/Lamorteratres/status/1065313896922312704","1065313896922312704")</f>
        <v>1065313896922312704</v>
      </c>
      <c r="F1030" s="12"/>
      <c r="G1030" s="11" t="s">
        <v>2633</v>
      </c>
      <c r="H1030" s="12"/>
      <c r="I1030" s="13">
        <v>0</v>
      </c>
      <c r="J1030" s="13">
        <v>0</v>
      </c>
      <c r="K1030" s="14" t="str">
        <f t="shared" si="217"/>
        <v>Twitter for Android</v>
      </c>
      <c r="L1030" s="13">
        <v>4301</v>
      </c>
      <c r="M1030" s="13">
        <v>4971</v>
      </c>
      <c r="N1030" s="13">
        <v>6</v>
      </c>
      <c r="O1030" s="15"/>
      <c r="P1030" s="6">
        <v>42350.443287037036</v>
      </c>
      <c r="Q1030" s="16" t="s">
        <v>2634</v>
      </c>
      <c r="R1030" s="19"/>
      <c r="S1030" s="12"/>
      <c r="T1030" s="12"/>
      <c r="U1030" s="10" t="str">
        <f>HYPERLINK("https://pbs.twimg.com/profile_images/964599497618788352/U9tH8AwV.jpg","View")</f>
        <v>View</v>
      </c>
    </row>
    <row r="1031" spans="1:21" ht="40.799999999999997">
      <c r="A1031" s="6">
        <v>43425.819120370375</v>
      </c>
      <c r="B1031" s="7" t="str">
        <f>HYPERLINK("https://twitter.com/caravacaaldia","@caravacaaldia")</f>
        <v>@caravacaaldia</v>
      </c>
      <c r="C1031" s="8" t="s">
        <v>5353</v>
      </c>
      <c r="D1031" s="9" t="s">
        <v>5354</v>
      </c>
      <c r="E1031" s="10" t="str">
        <f>HYPERLINK("https://twitter.com/caravacaaldia/status/1065313779578269697","1065313779578269697")</f>
        <v>1065313779578269697</v>
      </c>
      <c r="F1031" s="11" t="s">
        <v>5357</v>
      </c>
      <c r="G1031" s="11" t="s">
        <v>5358</v>
      </c>
      <c r="H1031" s="12"/>
      <c r="I1031" s="13">
        <v>0</v>
      </c>
      <c r="J1031" s="13">
        <v>0</v>
      </c>
      <c r="K1031" s="14" t="str">
        <f>HYPERLINK("http://twitter.com","Twitter Web Client")</f>
        <v>Twitter Web Client</v>
      </c>
      <c r="L1031" s="13">
        <v>1635</v>
      </c>
      <c r="M1031" s="13">
        <v>695</v>
      </c>
      <c r="N1031" s="13">
        <v>8</v>
      </c>
      <c r="O1031" s="15"/>
      <c r="P1031" s="6">
        <v>41555.504641203705</v>
      </c>
      <c r="Q1031" s="16" t="s">
        <v>5360</v>
      </c>
      <c r="R1031" s="17" t="s">
        <v>5361</v>
      </c>
      <c r="S1031" s="11" t="s">
        <v>5362</v>
      </c>
      <c r="T1031" s="12"/>
      <c r="U1031" s="10" t="str">
        <f>HYPERLINK("https://pbs.twimg.com/profile_images/378800000566408376/faf364a2387b2c4ad87b53bda6baf855.jpeg","View")</f>
        <v>View</v>
      </c>
    </row>
    <row r="1032" spans="1:21" ht="40.799999999999997">
      <c r="A1032" s="6">
        <v>43425.816435185188</v>
      </c>
      <c r="B1032" s="7" t="str">
        <f>HYPERLINK("https://twitter.com/maruxisima","@maruxisima")</f>
        <v>@maruxisima</v>
      </c>
      <c r="C1032" s="8" t="s">
        <v>2635</v>
      </c>
      <c r="D1032" s="9" t="s">
        <v>2636</v>
      </c>
      <c r="E1032" s="10" t="str">
        <f>HYPERLINK("https://twitter.com/maruxisima/status/1065312806797488128","1065312806797488128")</f>
        <v>1065312806797488128</v>
      </c>
      <c r="F1032" s="12"/>
      <c r="G1032" s="12"/>
      <c r="H1032" s="12"/>
      <c r="I1032" s="13">
        <v>1</v>
      </c>
      <c r="J1032" s="13">
        <v>3</v>
      </c>
      <c r="K1032" s="14" t="str">
        <f>HYPERLINK("http://twitter.com/download/android","Twitter for Android")</f>
        <v>Twitter for Android</v>
      </c>
      <c r="L1032" s="13">
        <v>250</v>
      </c>
      <c r="M1032" s="13">
        <v>274</v>
      </c>
      <c r="N1032" s="13">
        <v>2</v>
      </c>
      <c r="O1032" s="15"/>
      <c r="P1032" s="6">
        <v>40329.699259259258</v>
      </c>
      <c r="Q1032" s="16" t="s">
        <v>597</v>
      </c>
      <c r="R1032" s="17" t="s">
        <v>2639</v>
      </c>
      <c r="S1032" s="12"/>
      <c r="T1032" s="12"/>
      <c r="U1032" s="10" t="str">
        <f>HYPERLINK("https://pbs.twimg.com/profile_images/1061732803967094790/eaG6tD8i.jpg","View")</f>
        <v>View</v>
      </c>
    </row>
    <row r="1033" spans="1:21" ht="51">
      <c r="A1033" s="6">
        <v>43425.815763888888</v>
      </c>
      <c r="B1033" s="7" t="str">
        <f>HYPERLINK("https://twitter.com/SoyDonNadie","@SoyDonNadie")</f>
        <v>@SoyDonNadie</v>
      </c>
      <c r="C1033" s="8" t="s">
        <v>2641</v>
      </c>
      <c r="D1033" s="9" t="s">
        <v>2642</v>
      </c>
      <c r="E1033" s="10" t="str">
        <f>HYPERLINK("https://twitter.com/SoyDonNadie/status/1065312565637652480","1065312565637652480")</f>
        <v>1065312565637652480</v>
      </c>
      <c r="F1033" s="12"/>
      <c r="G1033" s="12"/>
      <c r="H1033" s="12"/>
      <c r="I1033" s="13">
        <v>0</v>
      </c>
      <c r="J1033" s="13">
        <v>0</v>
      </c>
      <c r="K1033" s="14" t="str">
        <f>HYPERLINK("http://www.facebook.com/twitter","Facebook")</f>
        <v>Facebook</v>
      </c>
      <c r="L1033" s="13">
        <v>929</v>
      </c>
      <c r="M1033" s="13">
        <v>2255</v>
      </c>
      <c r="N1033" s="13">
        <v>14</v>
      </c>
      <c r="O1033" s="15"/>
      <c r="P1033" s="6">
        <v>40546.957303240742</v>
      </c>
      <c r="Q1033" s="16" t="s">
        <v>496</v>
      </c>
      <c r="R1033" s="17" t="s">
        <v>2644</v>
      </c>
      <c r="S1033" s="11" t="s">
        <v>2645</v>
      </c>
      <c r="T1033" s="12"/>
      <c r="U1033" s="10" t="str">
        <f>HYPERLINK("https://pbs.twimg.com/profile_images/1900771571/Don_2520Nadie.JPG","View")</f>
        <v>View</v>
      </c>
    </row>
    <row r="1034" spans="1:21" ht="30.6">
      <c r="A1034" s="6">
        <v>43425.814907407403</v>
      </c>
      <c r="B1034" s="7" t="str">
        <f>HYPERLINK("https://twitter.com/JesusBoliche","@JesusBoliche")</f>
        <v>@JesusBoliche</v>
      </c>
      <c r="C1034" s="8" t="s">
        <v>2646</v>
      </c>
      <c r="D1034" s="9" t="s">
        <v>2647</v>
      </c>
      <c r="E1034" s="10" t="str">
        <f>HYPERLINK("https://twitter.com/JesusBoliche/status/1065312254181158912","1065312254181158912")</f>
        <v>1065312254181158912</v>
      </c>
      <c r="F1034" s="12"/>
      <c r="G1034" s="12"/>
      <c r="H1034" s="12"/>
      <c r="I1034" s="13">
        <v>0</v>
      </c>
      <c r="J1034" s="13">
        <v>0</v>
      </c>
      <c r="K1034" s="14" t="str">
        <f t="shared" ref="K1034:K1036" si="218">HYPERLINK("http://twitter.com/download/android","Twitter for Android")</f>
        <v>Twitter for Android</v>
      </c>
      <c r="L1034" s="13">
        <v>284</v>
      </c>
      <c r="M1034" s="13">
        <v>326</v>
      </c>
      <c r="N1034" s="13">
        <v>2</v>
      </c>
      <c r="O1034" s="15"/>
      <c r="P1034" s="6">
        <v>40871.551481481481</v>
      </c>
      <c r="Q1034" s="16" t="s">
        <v>2650</v>
      </c>
      <c r="R1034" s="17" t="s">
        <v>2651</v>
      </c>
      <c r="S1034" s="12"/>
      <c r="T1034" s="12"/>
      <c r="U1034" s="10" t="str">
        <f>HYPERLINK("https://pbs.twimg.com/profile_images/986280149204324352/JjT-c8JZ.jpg","View")</f>
        <v>View</v>
      </c>
    </row>
    <row r="1035" spans="1:21" ht="51">
      <c r="A1035" s="6">
        <v>43425.814814814818</v>
      </c>
      <c r="B1035" s="7" t="str">
        <f>HYPERLINK("https://twitter.com/karles2268","@karles2268")</f>
        <v>@karles2268</v>
      </c>
      <c r="C1035" s="8" t="s">
        <v>5369</v>
      </c>
      <c r="D1035" s="9" t="s">
        <v>5370</v>
      </c>
      <c r="E1035" s="10" t="str">
        <f>HYPERLINK("https://twitter.com/karles2268/status/1065312218286297090","1065312218286297090")</f>
        <v>1065312218286297090</v>
      </c>
      <c r="F1035" s="12"/>
      <c r="G1035" s="12"/>
      <c r="H1035" s="12"/>
      <c r="I1035" s="13">
        <v>0</v>
      </c>
      <c r="J1035" s="13">
        <v>0</v>
      </c>
      <c r="K1035" s="14" t="str">
        <f t="shared" si="218"/>
        <v>Twitter for Android</v>
      </c>
      <c r="L1035" s="13">
        <v>45</v>
      </c>
      <c r="M1035" s="13">
        <v>243</v>
      </c>
      <c r="N1035" s="13">
        <v>1</v>
      </c>
      <c r="O1035" s="15"/>
      <c r="P1035" s="6">
        <v>42124.610555555555</v>
      </c>
      <c r="Q1035" s="16" t="s">
        <v>5373</v>
      </c>
      <c r="R1035" s="17" t="s">
        <v>5374</v>
      </c>
      <c r="S1035" s="12"/>
      <c r="T1035" s="12"/>
      <c r="U1035" s="10" t="str">
        <f>HYPERLINK("https://pbs.twimg.com/profile_images/926190195736801282/bYngyjd1.jpg","View")</f>
        <v>View</v>
      </c>
    </row>
    <row r="1036" spans="1:21" ht="91.8">
      <c r="A1036" s="6">
        <v>43425.814699074079</v>
      </c>
      <c r="B1036" s="7" t="str">
        <f>HYPERLINK("https://twitter.com/julibert_joan","@julibert_joan")</f>
        <v>@julibert_joan</v>
      </c>
      <c r="C1036" s="8" t="s">
        <v>2652</v>
      </c>
      <c r="D1036" s="9" t="s">
        <v>2653</v>
      </c>
      <c r="E1036" s="10" t="str">
        <f>HYPERLINK("https://twitter.com/julibert_joan/status/1065312176594972672","1065312176594972672")</f>
        <v>1065312176594972672</v>
      </c>
      <c r="F1036" s="16" t="s">
        <v>2081</v>
      </c>
      <c r="G1036" s="12"/>
      <c r="H1036" s="12"/>
      <c r="I1036" s="13">
        <v>5</v>
      </c>
      <c r="J1036" s="13">
        <v>8</v>
      </c>
      <c r="K1036" s="14" t="str">
        <f t="shared" si="218"/>
        <v>Twitter for Android</v>
      </c>
      <c r="L1036" s="13">
        <v>876</v>
      </c>
      <c r="M1036" s="13">
        <v>632</v>
      </c>
      <c r="N1036" s="13">
        <v>10</v>
      </c>
      <c r="O1036" s="15"/>
      <c r="P1036" s="6">
        <v>42686.832280092596</v>
      </c>
      <c r="Q1036" s="12"/>
      <c r="R1036" s="17" t="s">
        <v>2654</v>
      </c>
      <c r="S1036" s="12"/>
      <c r="T1036" s="12"/>
      <c r="U1036" s="10" t="str">
        <f>HYPERLINK("https://pbs.twimg.com/profile_images/797609731053539329/BK2ZqnGb.jpg","View")</f>
        <v>View</v>
      </c>
    </row>
    <row r="1037" spans="1:21" ht="51">
      <c r="A1037" s="6">
        <v>43425.813703703709</v>
      </c>
      <c r="B1037" s="7" t="str">
        <f>HYPERLINK("https://twitter.com/Albert_Rivera","@Albert_Rivera")</f>
        <v>@Albert_Rivera</v>
      </c>
      <c r="C1037" s="8" t="s">
        <v>389</v>
      </c>
      <c r="D1037" s="9" t="s">
        <v>5377</v>
      </c>
      <c r="E1037" s="10" t="str">
        <f>HYPERLINK("https://twitter.com/Albert_Rivera/status/1065311816883085314","1065311816883085314")</f>
        <v>1065311816883085314</v>
      </c>
      <c r="F1037" s="12"/>
      <c r="G1037" s="11" t="s">
        <v>401</v>
      </c>
      <c r="H1037" s="12"/>
      <c r="I1037" s="13">
        <v>847</v>
      </c>
      <c r="J1037" s="13">
        <v>1721</v>
      </c>
      <c r="K1037" s="14" t="str">
        <f>HYPERLINK("http://twitter.com/download/iphone","Twitter for iPhone")</f>
        <v>Twitter for iPhone</v>
      </c>
      <c r="L1037" s="13">
        <v>1071530</v>
      </c>
      <c r="M1037" s="13">
        <v>2545</v>
      </c>
      <c r="N1037" s="13">
        <v>5104</v>
      </c>
      <c r="O1037" s="18" t="s">
        <v>36</v>
      </c>
      <c r="P1037" s="6">
        <v>40205.748171296298</v>
      </c>
      <c r="Q1037" s="16" t="s">
        <v>37</v>
      </c>
      <c r="R1037" s="17" t="s">
        <v>393</v>
      </c>
      <c r="S1037" s="11" t="s">
        <v>394</v>
      </c>
      <c r="T1037" s="12"/>
      <c r="U1037" s="10" t="str">
        <f>HYPERLINK("https://pbs.twimg.com/profile_images/1030708936779988993/RncDM4EZ.jpg","View")</f>
        <v>View</v>
      </c>
    </row>
    <row r="1038" spans="1:21" ht="61.2">
      <c r="A1038" s="6">
        <v>43425.812546296293</v>
      </c>
      <c r="B1038" s="7" t="str">
        <f>HYPERLINK("https://twitter.com/LosVirusOficial","@LosVirusOficial")</f>
        <v>@LosVirusOficial</v>
      </c>
      <c r="C1038" s="8" t="s">
        <v>2656</v>
      </c>
      <c r="D1038" s="9" t="s">
        <v>2657</v>
      </c>
      <c r="E1038" s="10" t="str">
        <f>HYPERLINK("https://twitter.com/LosVirusOficial/status/1065311398903906305","1065311398903906305")</f>
        <v>1065311398903906305</v>
      </c>
      <c r="F1038" s="11" t="s">
        <v>2658</v>
      </c>
      <c r="G1038" s="12"/>
      <c r="H1038" s="12"/>
      <c r="I1038" s="13">
        <v>0</v>
      </c>
      <c r="J1038" s="13">
        <v>0</v>
      </c>
      <c r="K1038" s="14" t="str">
        <f>HYPERLINK("http://twitter.com","Twitter Web Client")</f>
        <v>Twitter Web Client</v>
      </c>
      <c r="L1038" s="13">
        <v>4890</v>
      </c>
      <c r="M1038" s="13">
        <v>562</v>
      </c>
      <c r="N1038" s="13">
        <v>25</v>
      </c>
      <c r="O1038" s="15"/>
      <c r="P1038" s="6">
        <v>40458.043217592596</v>
      </c>
      <c r="Q1038" s="16" t="s">
        <v>2659</v>
      </c>
      <c r="R1038" s="17" t="s">
        <v>2660</v>
      </c>
      <c r="S1038" s="11" t="s">
        <v>2661</v>
      </c>
      <c r="T1038" s="12"/>
      <c r="U1038" s="10" t="str">
        <f>HYPERLINK("https://pbs.twimg.com/profile_images/716770080202293248/W_86jV-R.jpg","View")</f>
        <v>View</v>
      </c>
    </row>
    <row r="1039" spans="1:21" ht="40.799999999999997">
      <c r="A1039" s="6">
        <v>43425.812268518523</v>
      </c>
      <c r="B1039" s="7" t="str">
        <f>HYPERLINK("https://twitter.com/vesteve3","@vesteve3")</f>
        <v>@vesteve3</v>
      </c>
      <c r="C1039" s="8" t="s">
        <v>5383</v>
      </c>
      <c r="D1039" s="9" t="s">
        <v>5384</v>
      </c>
      <c r="E1039" s="10" t="str">
        <f>HYPERLINK("https://twitter.com/vesteve3/status/1065311295761723394","1065311295761723394")</f>
        <v>1065311295761723394</v>
      </c>
      <c r="F1039" s="11" t="s">
        <v>1700</v>
      </c>
      <c r="G1039" s="12"/>
      <c r="H1039" s="12"/>
      <c r="I1039" s="13">
        <v>0</v>
      </c>
      <c r="J1039" s="13">
        <v>0</v>
      </c>
      <c r="K1039" s="14" t="str">
        <f t="shared" ref="K1039:K1040" si="219">HYPERLINK("http://twitter.com/download/android","Twitter for Android")</f>
        <v>Twitter for Android</v>
      </c>
      <c r="L1039" s="13">
        <v>4079</v>
      </c>
      <c r="M1039" s="13">
        <v>3879</v>
      </c>
      <c r="N1039" s="13">
        <v>175</v>
      </c>
      <c r="O1039" s="15"/>
      <c r="P1039" s="6">
        <v>40375.43032407407</v>
      </c>
      <c r="Q1039" s="16" t="s">
        <v>1231</v>
      </c>
      <c r="R1039" s="17" t="s">
        <v>5386</v>
      </c>
      <c r="S1039" s="11" t="s">
        <v>5387</v>
      </c>
      <c r="T1039" s="12"/>
      <c r="U1039" s="10" t="str">
        <f>HYPERLINK("https://pbs.twimg.com/profile_images/463274602831958016/MG8rhLpS.jpeg","View")</f>
        <v>View</v>
      </c>
    </row>
    <row r="1040" spans="1:21" ht="51">
      <c r="A1040" s="6">
        <v>43425.811874999999</v>
      </c>
      <c r="B1040" s="7" t="str">
        <f>HYPERLINK("https://twitter.com/anton_pineiro","@anton_pineiro")</f>
        <v>@anton_pineiro</v>
      </c>
      <c r="C1040" s="8" t="s">
        <v>2662</v>
      </c>
      <c r="D1040" s="9" t="s">
        <v>2663</v>
      </c>
      <c r="E1040" s="10" t="str">
        <f>HYPERLINK("https://twitter.com/anton_pineiro/status/1065311154766077954","1065311154766077954")</f>
        <v>1065311154766077954</v>
      </c>
      <c r="F1040" s="16" t="s">
        <v>2486</v>
      </c>
      <c r="G1040" s="11" t="s">
        <v>2487</v>
      </c>
      <c r="H1040" s="12"/>
      <c r="I1040" s="13">
        <v>0</v>
      </c>
      <c r="J1040" s="13">
        <v>0</v>
      </c>
      <c r="K1040" s="14" t="str">
        <f t="shared" si="219"/>
        <v>Twitter for Android</v>
      </c>
      <c r="L1040" s="13">
        <v>3654</v>
      </c>
      <c r="M1040" s="13">
        <v>3618</v>
      </c>
      <c r="N1040" s="13">
        <v>81</v>
      </c>
      <c r="O1040" s="15"/>
      <c r="P1040" s="6">
        <v>42094.732453703706</v>
      </c>
      <c r="Q1040" s="16" t="s">
        <v>2664</v>
      </c>
      <c r="R1040" s="17" t="s">
        <v>2665</v>
      </c>
      <c r="S1040" s="12"/>
      <c r="T1040" s="12"/>
      <c r="U1040" s="10" t="str">
        <f>HYPERLINK("https://pbs.twimg.com/profile_images/1062419231189450753/tIUbj3NH.jpg","View")</f>
        <v>View</v>
      </c>
    </row>
    <row r="1041" spans="1:21" ht="71.400000000000006">
      <c r="A1041" s="6">
        <v>43425.811469907407</v>
      </c>
      <c r="B1041" s="7" t="str">
        <f>HYPERLINK("https://twitter.com/marinaLobL","@marinaLobL")</f>
        <v>@marinaLobL</v>
      </c>
      <c r="C1041" s="8" t="s">
        <v>5391</v>
      </c>
      <c r="D1041" s="9" t="s">
        <v>5392</v>
      </c>
      <c r="E1041" s="10" t="str">
        <f>HYPERLINK("https://twitter.com/marinaLobL/status/1065311009206874114","1065311009206874114")</f>
        <v>1065311009206874114</v>
      </c>
      <c r="F1041" s="11" t="s">
        <v>5394</v>
      </c>
      <c r="G1041" s="12"/>
      <c r="H1041" s="12"/>
      <c r="I1041" s="13">
        <v>0</v>
      </c>
      <c r="J1041" s="13">
        <v>15</v>
      </c>
      <c r="K1041" s="14" t="str">
        <f>HYPERLINK("http://twitter.com/download/iphone","Twitter for iPhone")</f>
        <v>Twitter for iPhone</v>
      </c>
      <c r="L1041" s="13">
        <v>13642</v>
      </c>
      <c r="M1041" s="13">
        <v>1090</v>
      </c>
      <c r="N1041" s="13">
        <v>121</v>
      </c>
      <c r="O1041" s="15"/>
      <c r="P1041" s="6">
        <v>40821.759409722225</v>
      </c>
      <c r="Q1041" s="12"/>
      <c r="R1041" s="17" t="s">
        <v>5396</v>
      </c>
      <c r="S1041" s="12"/>
      <c r="T1041" s="12"/>
      <c r="U1041" s="10" t="str">
        <f>HYPERLINK("https://pbs.twimg.com/profile_images/1018954490999902208/c6BV1Tob.jpg","View")</f>
        <v>View</v>
      </c>
    </row>
    <row r="1042" spans="1:21" ht="20.399999999999999">
      <c r="A1042" s="6">
        <v>43425.811400462961</v>
      </c>
      <c r="B1042" s="7" t="str">
        <f>HYPERLINK("https://twitter.com/JulioRLav","@JulioRLav")</f>
        <v>@JulioRLav</v>
      </c>
      <c r="C1042" s="8" t="s">
        <v>2666</v>
      </c>
      <c r="D1042" s="9" t="s">
        <v>2667</v>
      </c>
      <c r="E1042" s="10" t="str">
        <f>HYPERLINK("https://twitter.com/JulioRLav/status/1065310983210582016","1065310983210582016")</f>
        <v>1065310983210582016</v>
      </c>
      <c r="F1042" s="12"/>
      <c r="G1042" s="12"/>
      <c r="H1042" s="12"/>
      <c r="I1042" s="13">
        <v>1</v>
      </c>
      <c r="J1042" s="13">
        <v>1</v>
      </c>
      <c r="K1042" s="14" t="str">
        <f>HYPERLINK("https://mobile.twitter.com","Twitter Lite")</f>
        <v>Twitter Lite</v>
      </c>
      <c r="L1042" s="13">
        <v>489</v>
      </c>
      <c r="M1042" s="13">
        <v>766</v>
      </c>
      <c r="N1042" s="13">
        <v>17</v>
      </c>
      <c r="O1042" s="15"/>
      <c r="P1042" s="6">
        <v>40682.464594907404</v>
      </c>
      <c r="Q1042" s="12"/>
      <c r="R1042" s="17" t="s">
        <v>2670</v>
      </c>
      <c r="S1042" s="12"/>
      <c r="T1042" s="12"/>
      <c r="U1042" s="10" t="str">
        <f>HYPERLINK("https://pbs.twimg.com/profile_images/624251236188078080/m-cYPEx9.jpg","View")</f>
        <v>View</v>
      </c>
    </row>
    <row r="1043" spans="1:21" ht="13.2">
      <c r="A1043" s="6">
        <v>43425.810914351852</v>
      </c>
      <c r="B1043" s="7" t="str">
        <f>HYPERLINK("https://twitter.com/Cseijo13","@Cseijo13")</f>
        <v>@Cseijo13</v>
      </c>
      <c r="C1043" s="8" t="s">
        <v>5400</v>
      </c>
      <c r="D1043" s="9" t="s">
        <v>5401</v>
      </c>
      <c r="E1043" s="10" t="str">
        <f>HYPERLINK("https://twitter.com/Cseijo13/status/1065310807800594439","1065310807800594439")</f>
        <v>1065310807800594439</v>
      </c>
      <c r="F1043" s="12"/>
      <c r="G1043" s="12"/>
      <c r="H1043" s="12"/>
      <c r="I1043" s="13">
        <v>0</v>
      </c>
      <c r="J1043" s="13">
        <v>0</v>
      </c>
      <c r="K1043" s="14" t="str">
        <f t="shared" ref="K1043:K1044" si="220">HYPERLINK("http://twitter.com/download/android","Twitter for Android")</f>
        <v>Twitter for Android</v>
      </c>
      <c r="L1043" s="13">
        <v>553</v>
      </c>
      <c r="M1043" s="13">
        <v>688</v>
      </c>
      <c r="N1043" s="13">
        <v>4</v>
      </c>
      <c r="O1043" s="15"/>
      <c r="P1043" s="6">
        <v>40831.963217592594</v>
      </c>
      <c r="Q1043" s="16" t="s">
        <v>5402</v>
      </c>
      <c r="R1043" s="17" t="s">
        <v>5403</v>
      </c>
      <c r="S1043" s="11" t="s">
        <v>5404</v>
      </c>
      <c r="T1043" s="12"/>
      <c r="U1043" s="10" t="str">
        <f>HYPERLINK("https://pbs.twimg.com/profile_images/1043824506073174022/zBqK2qxD.jpg","View")</f>
        <v>View</v>
      </c>
    </row>
    <row r="1044" spans="1:21" ht="20.399999999999999">
      <c r="A1044" s="6">
        <v>43425.810266203705</v>
      </c>
      <c r="B1044" s="7" t="str">
        <f>HYPERLINK("https://twitter.com/Dirty_Brut_Gus","@Dirty_Brut_Gus")</f>
        <v>@Dirty_Brut_Gus</v>
      </c>
      <c r="C1044" s="8" t="s">
        <v>5407</v>
      </c>
      <c r="D1044" s="9" t="s">
        <v>5408</v>
      </c>
      <c r="E1044" s="10" t="str">
        <f>HYPERLINK("https://twitter.com/Dirty_Brut_Gus/status/1065310570704977925","1065310570704977925")</f>
        <v>1065310570704977925</v>
      </c>
      <c r="F1044" s="12"/>
      <c r="G1044" s="12"/>
      <c r="H1044" s="12"/>
      <c r="I1044" s="13">
        <v>0</v>
      </c>
      <c r="J1044" s="13">
        <v>1</v>
      </c>
      <c r="K1044" s="14" t="str">
        <f t="shared" si="220"/>
        <v>Twitter for Android</v>
      </c>
      <c r="L1044" s="13">
        <v>451</v>
      </c>
      <c r="M1044" s="13">
        <v>1190</v>
      </c>
      <c r="N1044" s="13">
        <v>3</v>
      </c>
      <c r="O1044" s="15"/>
      <c r="P1044" s="6">
        <v>40273.989085648151</v>
      </c>
      <c r="Q1044" s="12"/>
      <c r="R1044" s="17" t="s">
        <v>5411</v>
      </c>
      <c r="S1044" s="12"/>
      <c r="T1044" s="12"/>
      <c r="U1044" s="10" t="str">
        <f>HYPERLINK("https://pbs.twimg.com/profile_images/1010461634807164928/EGEPEL3K.jpg","View")</f>
        <v>View</v>
      </c>
    </row>
    <row r="1045" spans="1:21" ht="40.799999999999997">
      <c r="A1045" s="6">
        <v>43425.809965277775</v>
      </c>
      <c r="B1045" s="7" t="str">
        <f>HYPERLINK("https://twitter.com/NouSoc","@NouSoc")</f>
        <v>@NouSoc</v>
      </c>
      <c r="C1045" s="8" t="s">
        <v>2671</v>
      </c>
      <c r="D1045" s="9" t="s">
        <v>2672</v>
      </c>
      <c r="E1045" s="10" t="str">
        <f>HYPERLINK("https://twitter.com/NouSoc/status/1065310461602729984","1065310461602729984")</f>
        <v>1065310461602729984</v>
      </c>
      <c r="F1045" s="12"/>
      <c r="G1045" s="12"/>
      <c r="H1045" s="12"/>
      <c r="I1045" s="13">
        <v>0</v>
      </c>
      <c r="J1045" s="13">
        <v>2</v>
      </c>
      <c r="K1045" s="14" t="str">
        <f>HYPERLINK("http://twitter.com/download/iphone","Twitter for iPhone")</f>
        <v>Twitter for iPhone</v>
      </c>
      <c r="L1045" s="13">
        <v>173</v>
      </c>
      <c r="M1045" s="13">
        <v>429</v>
      </c>
      <c r="N1045" s="13">
        <v>0</v>
      </c>
      <c r="O1045" s="15"/>
      <c r="P1045" s="6">
        <v>43246.465868055559</v>
      </c>
      <c r="Q1045" s="12"/>
      <c r="R1045" s="19"/>
      <c r="S1045" s="12"/>
      <c r="T1045" s="12"/>
      <c r="U1045" s="10" t="str">
        <f>HYPERLINK("https://pbs.twimg.com/profile_images/1039940259142877184/fXAs-2LW.jpg","View")</f>
        <v>View</v>
      </c>
    </row>
    <row r="1046" spans="1:21" ht="51">
      <c r="A1046" s="6">
        <v>43425.809351851851</v>
      </c>
      <c r="B1046" s="7" t="str">
        <f>HYPERLINK("https://twitter.com/rafagm1991","@rafagm1991")</f>
        <v>@rafagm1991</v>
      </c>
      <c r="C1046" s="8" t="s">
        <v>2677</v>
      </c>
      <c r="D1046" s="9" t="s">
        <v>2678</v>
      </c>
      <c r="E1046" s="10" t="str">
        <f>HYPERLINK("https://twitter.com/rafagm1991/status/1065310240118398980","1065310240118398980")</f>
        <v>1065310240118398980</v>
      </c>
      <c r="F1046" s="16" t="s">
        <v>2681</v>
      </c>
      <c r="G1046" s="12"/>
      <c r="H1046" s="12"/>
      <c r="I1046" s="13">
        <v>0</v>
      </c>
      <c r="J1046" s="13">
        <v>0</v>
      </c>
      <c r="K1046" s="14" t="str">
        <f>HYPERLINK("http://twitter.com/download/android","Twitter for Android")</f>
        <v>Twitter for Android</v>
      </c>
      <c r="L1046" s="13">
        <v>288</v>
      </c>
      <c r="M1046" s="13">
        <v>238</v>
      </c>
      <c r="N1046" s="13">
        <v>3</v>
      </c>
      <c r="O1046" s="15"/>
      <c r="P1046" s="6">
        <v>41040.629143518519</v>
      </c>
      <c r="Q1046" s="16" t="s">
        <v>37</v>
      </c>
      <c r="R1046" s="17" t="s">
        <v>2682</v>
      </c>
      <c r="S1046" s="12"/>
      <c r="T1046" s="12"/>
      <c r="U1046" s="10" t="str">
        <f>HYPERLINK("https://pbs.twimg.com/profile_images/1027162459189248001/5y3nr2e1.jpg","View")</f>
        <v>View</v>
      </c>
    </row>
    <row r="1047" spans="1:21" ht="20.399999999999999">
      <c r="A1047" s="6">
        <v>43425.808553240742</v>
      </c>
      <c r="B1047" s="7" t="str">
        <f>HYPERLINK("https://twitter.com/JulioRLav","@JulioRLav")</f>
        <v>@JulioRLav</v>
      </c>
      <c r="C1047" s="8" t="s">
        <v>2666</v>
      </c>
      <c r="D1047" s="9" t="s">
        <v>2685</v>
      </c>
      <c r="E1047" s="10" t="str">
        <f>HYPERLINK("https://twitter.com/JulioRLav/status/1065309949314646016","1065309949314646016")</f>
        <v>1065309949314646016</v>
      </c>
      <c r="F1047" s="12"/>
      <c r="G1047" s="12"/>
      <c r="H1047" s="12"/>
      <c r="I1047" s="13">
        <v>0</v>
      </c>
      <c r="J1047" s="13">
        <v>0</v>
      </c>
      <c r="K1047" s="14" t="str">
        <f>HYPERLINK("https://mobile.twitter.com","Twitter Lite")</f>
        <v>Twitter Lite</v>
      </c>
      <c r="L1047" s="13">
        <v>489</v>
      </c>
      <c r="M1047" s="13">
        <v>766</v>
      </c>
      <c r="N1047" s="13">
        <v>17</v>
      </c>
      <c r="O1047" s="15"/>
      <c r="P1047" s="6">
        <v>40682.464594907404</v>
      </c>
      <c r="Q1047" s="12"/>
      <c r="R1047" s="17" t="s">
        <v>2670</v>
      </c>
      <c r="S1047" s="12"/>
      <c r="T1047" s="12"/>
      <c r="U1047" s="10" t="str">
        <f>HYPERLINK("https://pbs.twimg.com/profile_images/624251236188078080/m-cYPEx9.jpg","View")</f>
        <v>View</v>
      </c>
    </row>
    <row r="1048" spans="1:21" ht="13.2">
      <c r="A1048" s="6">
        <v>43425.808356481481</v>
      </c>
      <c r="B1048" s="7" t="str">
        <f>HYPERLINK("https://twitter.com/PedroViruega","@PedroViruega")</f>
        <v>@PedroViruega</v>
      </c>
      <c r="C1048" s="8" t="s">
        <v>5424</v>
      </c>
      <c r="D1048" s="9" t="s">
        <v>5425</v>
      </c>
      <c r="E1048" s="10" t="str">
        <f>HYPERLINK("https://twitter.com/PedroViruega/status/1065309880486109184","1065309880486109184")</f>
        <v>1065309880486109184</v>
      </c>
      <c r="F1048" s="11" t="s">
        <v>5426</v>
      </c>
      <c r="G1048" s="12"/>
      <c r="H1048" s="12"/>
      <c r="I1048" s="13">
        <v>1</v>
      </c>
      <c r="J1048" s="13">
        <v>0</v>
      </c>
      <c r="K1048" s="14" t="str">
        <f>HYPERLINK("http://twitter.com","Twitter Web Client")</f>
        <v>Twitter Web Client</v>
      </c>
      <c r="L1048" s="13">
        <v>792</v>
      </c>
      <c r="M1048" s="13">
        <v>2901</v>
      </c>
      <c r="N1048" s="13">
        <v>0</v>
      </c>
      <c r="O1048" s="15"/>
      <c r="P1048" s="6">
        <v>40476.641539351855</v>
      </c>
      <c r="Q1048" s="12"/>
      <c r="R1048" s="19"/>
      <c r="S1048" s="11" t="s">
        <v>5429</v>
      </c>
      <c r="T1048" s="12"/>
      <c r="U1048" s="10" t="str">
        <f>HYPERLINK("https://pbs.twimg.com/profile_images/957380005448835072/5TTX8UKi.jpg","View")</f>
        <v>View</v>
      </c>
    </row>
    <row r="1049" spans="1:21" ht="61.2">
      <c r="A1049" s="6">
        <v>43425.808032407411</v>
      </c>
      <c r="B1049" s="7" t="str">
        <f>HYPERLINK("https://twitter.com/NouSoc","@NouSoc")</f>
        <v>@NouSoc</v>
      </c>
      <c r="C1049" s="8" t="s">
        <v>2671</v>
      </c>
      <c r="D1049" s="9" t="s">
        <v>2688</v>
      </c>
      <c r="E1049" s="10" t="str">
        <f>HYPERLINK("https://twitter.com/NouSoc/status/1065309762890403842","1065309762890403842")</f>
        <v>1065309762890403842</v>
      </c>
      <c r="F1049" s="16" t="s">
        <v>2486</v>
      </c>
      <c r="G1049" s="11" t="s">
        <v>2487</v>
      </c>
      <c r="H1049" s="12"/>
      <c r="I1049" s="13">
        <v>0</v>
      </c>
      <c r="J1049" s="13">
        <v>0</v>
      </c>
      <c r="K1049" s="14" t="str">
        <f>HYPERLINK("http://twitter.com/download/iphone","Twitter for iPhone")</f>
        <v>Twitter for iPhone</v>
      </c>
      <c r="L1049" s="13">
        <v>173</v>
      </c>
      <c r="M1049" s="13">
        <v>429</v>
      </c>
      <c r="N1049" s="13">
        <v>0</v>
      </c>
      <c r="O1049" s="15"/>
      <c r="P1049" s="6">
        <v>43246.465868055559</v>
      </c>
      <c r="Q1049" s="12"/>
      <c r="R1049" s="19"/>
      <c r="S1049" s="12"/>
      <c r="T1049" s="12"/>
      <c r="U1049" s="10" t="str">
        <f>HYPERLINK("https://pbs.twimg.com/profile_images/1039940259142877184/fXAs-2LW.jpg","View")</f>
        <v>View</v>
      </c>
    </row>
    <row r="1050" spans="1:21" ht="30.6">
      <c r="A1050" s="6">
        <v>43425.807245370372</v>
      </c>
      <c r="B1050" s="7" t="str">
        <f>HYPERLINK("https://twitter.com/egototi","@egototi")</f>
        <v>@egototi</v>
      </c>
      <c r="C1050" s="8" t="s">
        <v>5436</v>
      </c>
      <c r="D1050" s="9" t="s">
        <v>5437</v>
      </c>
      <c r="E1050" s="10" t="str">
        <f>HYPERLINK("https://twitter.com/egototi/status/1065309477958811655","1065309477958811655")</f>
        <v>1065309477958811655</v>
      </c>
      <c r="F1050" s="11" t="s">
        <v>5438</v>
      </c>
      <c r="G1050" s="11" t="s">
        <v>5439</v>
      </c>
      <c r="H1050" s="12"/>
      <c r="I1050" s="13">
        <v>0</v>
      </c>
      <c r="J1050" s="13">
        <v>0</v>
      </c>
      <c r="K1050" s="14" t="str">
        <f>HYPERLINK("http://twitter.com/download/android","Twitter for Android")</f>
        <v>Twitter for Android</v>
      </c>
      <c r="L1050" s="13">
        <v>133</v>
      </c>
      <c r="M1050" s="13">
        <v>288</v>
      </c>
      <c r="N1050" s="13">
        <v>0</v>
      </c>
      <c r="O1050" s="15"/>
      <c r="P1050" s="6">
        <v>43027.492326388892</v>
      </c>
      <c r="Q1050" s="12"/>
      <c r="R1050" s="17" t="s">
        <v>5442</v>
      </c>
      <c r="S1050" s="12"/>
      <c r="T1050" s="12"/>
      <c r="U1050" s="10" t="str">
        <f>HYPERLINK("https://pbs.twimg.com/profile_images/1062089492088152065/qS7J6w6y.jpg","View")</f>
        <v>View</v>
      </c>
    </row>
    <row r="1051" spans="1:21" ht="40.799999999999997">
      <c r="A1051" s="6">
        <v>43425.807025462964</v>
      </c>
      <c r="B1051" s="7" t="str">
        <f>HYPERLINK("https://twitter.com/LpezRogelio","@LpezRogelio")</f>
        <v>@LpezRogelio</v>
      </c>
      <c r="C1051" s="8" t="s">
        <v>5444</v>
      </c>
      <c r="D1051" s="9" t="s">
        <v>5446</v>
      </c>
      <c r="E1051" s="10" t="str">
        <f>HYPERLINK("https://twitter.com/LpezRogelio/status/1065309396660555777","1065309396660555777")</f>
        <v>1065309396660555777</v>
      </c>
      <c r="F1051" s="11" t="s">
        <v>2534</v>
      </c>
      <c r="G1051" s="12"/>
      <c r="H1051" s="12"/>
      <c r="I1051" s="13">
        <v>0</v>
      </c>
      <c r="J1051" s="13">
        <v>0</v>
      </c>
      <c r="K1051" s="14" t="str">
        <f>HYPERLINK("http://www.facebook.com/twitter","Facebook")</f>
        <v>Facebook</v>
      </c>
      <c r="L1051" s="13">
        <v>1429</v>
      </c>
      <c r="M1051" s="13">
        <v>1273</v>
      </c>
      <c r="N1051" s="13">
        <v>63</v>
      </c>
      <c r="O1051" s="15"/>
      <c r="P1051" s="6">
        <v>40807.566516203704</v>
      </c>
      <c r="Q1051" s="16" t="s">
        <v>37</v>
      </c>
      <c r="R1051" s="17" t="s">
        <v>5449</v>
      </c>
      <c r="S1051" s="11" t="s">
        <v>5451</v>
      </c>
      <c r="T1051" s="12"/>
      <c r="U1051" s="10" t="str">
        <f>HYPERLINK("https://pbs.twimg.com/profile_images/690253275250171906/vSMbyIGf.jpg","View")</f>
        <v>View</v>
      </c>
    </row>
    <row r="1052" spans="1:21" ht="40.799999999999997">
      <c r="A1052" s="6">
        <v>43425.805185185185</v>
      </c>
      <c r="B1052" s="7" t="str">
        <f>HYPERLINK("https://twitter.com/jorgemadrid_","@jorgemadrid_")</f>
        <v>@jorgemadrid_</v>
      </c>
      <c r="C1052" s="8" t="s">
        <v>5452</v>
      </c>
      <c r="D1052" s="9" t="s">
        <v>5453</v>
      </c>
      <c r="E1052" s="10" t="str">
        <f>HYPERLINK("https://twitter.com/jorgemadrid_/status/1065308730605150209","1065308730605150209")</f>
        <v>1065308730605150209</v>
      </c>
      <c r="F1052" s="16" t="s">
        <v>733</v>
      </c>
      <c r="G1052" s="11" t="s">
        <v>65</v>
      </c>
      <c r="H1052" s="12"/>
      <c r="I1052" s="13">
        <v>0</v>
      </c>
      <c r="J1052" s="13">
        <v>0</v>
      </c>
      <c r="K1052" s="14" t="str">
        <f>HYPERLINK("http://twitter.com/#!/download/ipad","Twitter for iPad")</f>
        <v>Twitter for iPad</v>
      </c>
      <c r="L1052" s="13">
        <v>980</v>
      </c>
      <c r="M1052" s="13">
        <v>423</v>
      </c>
      <c r="N1052" s="13">
        <v>34</v>
      </c>
      <c r="O1052" s="15"/>
      <c r="P1052" s="6">
        <v>40680.788159722222</v>
      </c>
      <c r="Q1052" s="16" t="s">
        <v>955</v>
      </c>
      <c r="R1052" s="17" t="s">
        <v>5457</v>
      </c>
      <c r="S1052" s="12"/>
      <c r="T1052" s="12"/>
      <c r="U1052" s="10" t="str">
        <f>HYPERLINK("https://pbs.twimg.com/profile_images/1045378906843426817/CMU5ZQxF.jpg","View")</f>
        <v>View</v>
      </c>
    </row>
    <row r="1053" spans="1:21" ht="51">
      <c r="A1053" s="6">
        <v>43425.799467592587</v>
      </c>
      <c r="B1053" s="7" t="str">
        <f>HYPERLINK("https://twitter.com/ChuletaCordero","@ChuletaCordero")</f>
        <v>@ChuletaCordero</v>
      </c>
      <c r="C1053" s="8" t="s">
        <v>5458</v>
      </c>
      <c r="D1053" s="9" t="s">
        <v>5459</v>
      </c>
      <c r="E1053" s="10" t="str">
        <f>HYPERLINK("https://twitter.com/ChuletaCordero/status/1065306658405052416","1065306658405052416")</f>
        <v>1065306658405052416</v>
      </c>
      <c r="F1053" s="12"/>
      <c r="G1053" s="12"/>
      <c r="H1053" s="12"/>
      <c r="I1053" s="13">
        <v>0</v>
      </c>
      <c r="J1053" s="13">
        <v>5</v>
      </c>
      <c r="K1053" s="14" t="str">
        <f t="shared" ref="K1053:K1055" si="221">HYPERLINK("http://twitter.com","Twitter Web Client")</f>
        <v>Twitter Web Client</v>
      </c>
      <c r="L1053" s="13">
        <v>5985</v>
      </c>
      <c r="M1053" s="13">
        <v>742</v>
      </c>
      <c r="N1053" s="13">
        <v>101</v>
      </c>
      <c r="O1053" s="15"/>
      <c r="P1053" s="6">
        <v>40280.799247685187</v>
      </c>
      <c r="Q1053" s="12"/>
      <c r="R1053" s="17" t="s">
        <v>5463</v>
      </c>
      <c r="S1053" s="12"/>
      <c r="T1053" s="12"/>
      <c r="U1053" s="10" t="str">
        <f>HYPERLINK("https://pbs.twimg.com/profile_images/1038912055452024832/54lp63UO.jpg","View")</f>
        <v>View</v>
      </c>
    </row>
    <row r="1054" spans="1:21" ht="40.799999999999997">
      <c r="A1054" s="6">
        <v>43425.796782407408</v>
      </c>
      <c r="B1054" s="7" t="str">
        <f>HYPERLINK("https://twitter.com/pheloponeso","@pheloponeso")</f>
        <v>@pheloponeso</v>
      </c>
      <c r="C1054" s="8" t="s">
        <v>2695</v>
      </c>
      <c r="D1054" s="9" t="s">
        <v>2696</v>
      </c>
      <c r="E1054" s="10" t="str">
        <f>HYPERLINK("https://twitter.com/pheloponeso/status/1065305686832226304","1065305686832226304")</f>
        <v>1065305686832226304</v>
      </c>
      <c r="F1054" s="12"/>
      <c r="G1054" s="12"/>
      <c r="H1054" s="12"/>
      <c r="I1054" s="13">
        <v>0</v>
      </c>
      <c r="J1054" s="13">
        <v>0</v>
      </c>
      <c r="K1054" s="14" t="str">
        <f t="shared" si="221"/>
        <v>Twitter Web Client</v>
      </c>
      <c r="L1054" s="13">
        <v>3126</v>
      </c>
      <c r="M1054" s="13">
        <v>4423</v>
      </c>
      <c r="N1054" s="13">
        <v>23</v>
      </c>
      <c r="O1054" s="15"/>
      <c r="P1054" s="6">
        <v>40265.508645833332</v>
      </c>
      <c r="Q1054" s="16" t="s">
        <v>662</v>
      </c>
      <c r="R1054" s="17" t="s">
        <v>2697</v>
      </c>
      <c r="S1054" s="12"/>
      <c r="T1054" s="12"/>
      <c r="U1054" s="10" t="str">
        <f>HYPERLINK("https://pbs.twimg.com/profile_images/820967403135913984/bVnAo7Sc.jpg","View")</f>
        <v>View</v>
      </c>
    </row>
    <row r="1055" spans="1:21" ht="40.799999999999997">
      <c r="A1055" s="6">
        <v>43425.795972222222</v>
      </c>
      <c r="B1055" s="7" t="str">
        <f>HYPERLINK("https://twitter.com/PepeGarciaPer","@PepeGarciaPer")</f>
        <v>@PepeGarciaPer</v>
      </c>
      <c r="C1055" s="8" t="s">
        <v>2698</v>
      </c>
      <c r="D1055" s="9" t="s">
        <v>2699</v>
      </c>
      <c r="E1055" s="10" t="str">
        <f>HYPERLINK("https://twitter.com/PepeGarciaPer/status/1065305393021235201","1065305393021235201")</f>
        <v>1065305393021235201</v>
      </c>
      <c r="F1055" s="12"/>
      <c r="G1055" s="12"/>
      <c r="H1055" s="12"/>
      <c r="I1055" s="13">
        <v>3</v>
      </c>
      <c r="J1055" s="13">
        <v>5</v>
      </c>
      <c r="K1055" s="14" t="str">
        <f t="shared" si="221"/>
        <v>Twitter Web Client</v>
      </c>
      <c r="L1055" s="13">
        <v>3111</v>
      </c>
      <c r="M1055" s="13">
        <v>2545</v>
      </c>
      <c r="N1055" s="13">
        <v>25</v>
      </c>
      <c r="O1055" s="15"/>
      <c r="P1055" s="6">
        <v>41067.917546296296</v>
      </c>
      <c r="Q1055" s="16" t="s">
        <v>2700</v>
      </c>
      <c r="R1055" s="17" t="s">
        <v>2701</v>
      </c>
      <c r="S1055" s="12"/>
      <c r="T1055" s="12"/>
      <c r="U1055" s="10" t="str">
        <f>HYPERLINK("https://pbs.twimg.com/profile_images/2779989453/f11a42a4fc687ff1349d4969e049875a.jpeg","View")</f>
        <v>View</v>
      </c>
    </row>
    <row r="1056" spans="1:21" ht="51">
      <c r="A1056" s="6">
        <v>43425.795532407406</v>
      </c>
      <c r="B1056" s="7" t="str">
        <f>HYPERLINK("https://twitter.com/JPOMBOPAK","@JPOMBOPAK")</f>
        <v>@JPOMBOPAK</v>
      </c>
      <c r="C1056" s="8" t="s">
        <v>1321</v>
      </c>
      <c r="D1056" s="9" t="s">
        <v>2702</v>
      </c>
      <c r="E1056" s="10" t="str">
        <f>HYPERLINK("https://twitter.com/JPOMBOPAK/status/1065305231343452160","1065305231343452160")</f>
        <v>1065305231343452160</v>
      </c>
      <c r="F1056" s="12"/>
      <c r="G1056" s="11" t="s">
        <v>2703</v>
      </c>
      <c r="H1056" s="12"/>
      <c r="I1056" s="13">
        <v>0</v>
      </c>
      <c r="J1056" s="13">
        <v>0</v>
      </c>
      <c r="K1056" s="14" t="str">
        <f>HYPERLINK("http://twitter.com/download/android","Twitter for Android")</f>
        <v>Twitter for Android</v>
      </c>
      <c r="L1056" s="13">
        <v>4548</v>
      </c>
      <c r="M1056" s="13">
        <v>2983</v>
      </c>
      <c r="N1056" s="13">
        <v>43</v>
      </c>
      <c r="O1056" s="15"/>
      <c r="P1056" s="6">
        <v>40938.632858796293</v>
      </c>
      <c r="Q1056" s="16" t="s">
        <v>37</v>
      </c>
      <c r="R1056" s="17" t="s">
        <v>1324</v>
      </c>
      <c r="S1056" s="11" t="s">
        <v>1325</v>
      </c>
      <c r="T1056" s="12"/>
      <c r="U1056" s="10" t="str">
        <f>HYPERLINK("https://pbs.twimg.com/profile_images/1062413955811942400/J2jpuBPM.jpg","View")</f>
        <v>View</v>
      </c>
    </row>
    <row r="1057" spans="1:21" ht="51">
      <c r="A1057" s="6">
        <v>43425.79305555555</v>
      </c>
      <c r="B1057" s="7" t="str">
        <f>HYPERLINK("https://twitter.com/bitMomentum","@bitMomentum")</f>
        <v>@bitMomentum</v>
      </c>
      <c r="C1057" s="8" t="s">
        <v>706</v>
      </c>
      <c r="D1057" s="9" t="s">
        <v>2704</v>
      </c>
      <c r="E1057" s="10" t="str">
        <f>HYPERLINK("https://twitter.com/bitMomentum/status/1065304333456207875","1065304333456207875")</f>
        <v>1065304333456207875</v>
      </c>
      <c r="F1057" s="12"/>
      <c r="G1057" s="12"/>
      <c r="H1057" s="12"/>
      <c r="I1057" s="13">
        <v>0</v>
      </c>
      <c r="J1057" s="13">
        <v>0</v>
      </c>
      <c r="K1057" s="14" t="str">
        <f>HYPERLINK("http://www.bitmomentum.com","bitMomentum Bot")</f>
        <v>bitMomentum Bot</v>
      </c>
      <c r="L1057" s="13">
        <v>10132</v>
      </c>
      <c r="M1057" s="13">
        <v>1060</v>
      </c>
      <c r="N1057" s="13">
        <v>262</v>
      </c>
      <c r="O1057" s="15"/>
      <c r="P1057" s="6">
        <v>41608.667511574073</v>
      </c>
      <c r="Q1057" s="12"/>
      <c r="R1057" s="17" t="s">
        <v>708</v>
      </c>
      <c r="S1057" s="11" t="s">
        <v>709</v>
      </c>
      <c r="T1057" s="12"/>
      <c r="U1057" s="10" t="str">
        <f>HYPERLINK("https://pbs.twimg.com/profile_images/378800000862185241/20ij2H3u.png","View")</f>
        <v>View</v>
      </c>
    </row>
    <row r="1058" spans="1:21" ht="51">
      <c r="A1058" s="6">
        <v>43425.792962962965</v>
      </c>
      <c r="B1058" s="7" t="str">
        <f>HYPERLINK("https://twitter.com/yo_lalio","@yo_lalio")</f>
        <v>@yo_lalio</v>
      </c>
      <c r="C1058" s="8" t="s">
        <v>5474</v>
      </c>
      <c r="D1058" s="9" t="s">
        <v>5475</v>
      </c>
      <c r="E1058" s="10" t="str">
        <f>HYPERLINK("https://twitter.com/yo_lalio/status/1065304301579444225","1065304301579444225")</f>
        <v>1065304301579444225</v>
      </c>
      <c r="F1058" s="12"/>
      <c r="G1058" s="12"/>
      <c r="H1058" s="12"/>
      <c r="I1058" s="13">
        <v>0</v>
      </c>
      <c r="J1058" s="13">
        <v>4</v>
      </c>
      <c r="K1058" s="14" t="str">
        <f>HYPERLINK("http://twitter.com/download/android","Twitter for Android")</f>
        <v>Twitter for Android</v>
      </c>
      <c r="L1058" s="13">
        <v>425</v>
      </c>
      <c r="M1058" s="13">
        <v>304</v>
      </c>
      <c r="N1058" s="13">
        <v>25</v>
      </c>
      <c r="O1058" s="15"/>
      <c r="P1058" s="6">
        <v>41648.640520833331</v>
      </c>
      <c r="Q1058" s="12"/>
      <c r="R1058" s="19"/>
      <c r="S1058" s="12"/>
      <c r="T1058" s="12"/>
      <c r="U1058" s="10" t="str">
        <f>HYPERLINK("https://pbs.twimg.com/profile_images/732951767978217473/HqSqU4xV.jpg","View")</f>
        <v>View</v>
      </c>
    </row>
    <row r="1059" spans="1:21" ht="51">
      <c r="A1059" s="6">
        <v>43425.792361111111</v>
      </c>
      <c r="B1059" s="7" t="str">
        <f>HYPERLINK("https://twitter.com/bitMomentum","@bitMomentum")</f>
        <v>@bitMomentum</v>
      </c>
      <c r="C1059" s="8" t="s">
        <v>706</v>
      </c>
      <c r="D1059" s="9" t="s">
        <v>2705</v>
      </c>
      <c r="E1059" s="10" t="str">
        <f>HYPERLINK("https://twitter.com/bitMomentum/status/1065304082028683268","1065304082028683268")</f>
        <v>1065304082028683268</v>
      </c>
      <c r="F1059" s="12"/>
      <c r="G1059" s="12"/>
      <c r="H1059" s="12"/>
      <c r="I1059" s="13">
        <v>0</v>
      </c>
      <c r="J1059" s="13">
        <v>0</v>
      </c>
      <c r="K1059" s="14" t="str">
        <f>HYPERLINK("http://www.bitmomentum.com","bitMomentum Bot")</f>
        <v>bitMomentum Bot</v>
      </c>
      <c r="L1059" s="13">
        <v>10132</v>
      </c>
      <c r="M1059" s="13">
        <v>1060</v>
      </c>
      <c r="N1059" s="13">
        <v>262</v>
      </c>
      <c r="O1059" s="15"/>
      <c r="P1059" s="6">
        <v>41608.667511574073</v>
      </c>
      <c r="Q1059" s="12"/>
      <c r="R1059" s="17" t="s">
        <v>708</v>
      </c>
      <c r="S1059" s="11" t="s">
        <v>709</v>
      </c>
      <c r="T1059" s="12"/>
      <c r="U1059" s="10" t="str">
        <f>HYPERLINK("https://pbs.twimg.com/profile_images/378800000862185241/20ij2H3u.png","View")</f>
        <v>View</v>
      </c>
    </row>
    <row r="1060" spans="1:21" ht="40.799999999999997">
      <c r="A1060" s="6">
        <v>43425.792002314818</v>
      </c>
      <c r="B1060" s="7" t="str">
        <f>HYPERLINK("https://twitter.com/VidALieNs","@VidALieNs")</f>
        <v>@VidALieNs</v>
      </c>
      <c r="C1060" s="8" t="s">
        <v>5483</v>
      </c>
      <c r="D1060" s="9" t="s">
        <v>5484</v>
      </c>
      <c r="E1060" s="10" t="str">
        <f>HYPERLINK("https://twitter.com/VidALieNs/status/1065303955322937344","1065303955322937344")</f>
        <v>1065303955322937344</v>
      </c>
      <c r="F1060" s="12"/>
      <c r="G1060" s="12"/>
      <c r="H1060" s="12"/>
      <c r="I1060" s="13">
        <v>554</v>
      </c>
      <c r="J1060" s="13">
        <v>1129</v>
      </c>
      <c r="K1060" s="14" t="str">
        <f t="shared" ref="K1060:K1062" si="222">HYPERLINK("http://twitter.com/download/android","Twitter for Android")</f>
        <v>Twitter for Android</v>
      </c>
      <c r="L1060" s="13">
        <v>11486</v>
      </c>
      <c r="M1060" s="13">
        <v>9133</v>
      </c>
      <c r="N1060" s="13">
        <v>35</v>
      </c>
      <c r="O1060" s="15"/>
      <c r="P1060" s="6">
        <v>40767.610150462962</v>
      </c>
      <c r="Q1060" s="16" t="s">
        <v>448</v>
      </c>
      <c r="R1060" s="17" t="s">
        <v>5486</v>
      </c>
      <c r="S1060" s="12"/>
      <c r="T1060" s="12"/>
      <c r="U1060" s="10" t="str">
        <f>HYPERLINK("https://pbs.twimg.com/profile_images/979309252329263105/5-ln10Cs.jpg","View")</f>
        <v>View</v>
      </c>
    </row>
    <row r="1061" spans="1:21" ht="51">
      <c r="A1061" s="6">
        <v>43425.791678240741</v>
      </c>
      <c r="B1061" s="7" t="str">
        <f>HYPERLINK("https://twitter.com/andugarte","@andugarte")</f>
        <v>@andugarte</v>
      </c>
      <c r="C1061" s="8" t="s">
        <v>5489</v>
      </c>
      <c r="D1061" s="9" t="s">
        <v>5490</v>
      </c>
      <c r="E1061" s="10" t="str">
        <f>HYPERLINK("https://twitter.com/andugarte/status/1065303834472472577","1065303834472472577")</f>
        <v>1065303834472472577</v>
      </c>
      <c r="F1061" s="12"/>
      <c r="G1061" s="12"/>
      <c r="H1061" s="12"/>
      <c r="I1061" s="13">
        <v>0</v>
      </c>
      <c r="J1061" s="13">
        <v>0</v>
      </c>
      <c r="K1061" s="14" t="str">
        <f t="shared" si="222"/>
        <v>Twitter for Android</v>
      </c>
      <c r="L1061" s="13">
        <v>204</v>
      </c>
      <c r="M1061" s="13">
        <v>540</v>
      </c>
      <c r="N1061" s="13">
        <v>0</v>
      </c>
      <c r="O1061" s="15"/>
      <c r="P1061" s="6">
        <v>42627.667430555557</v>
      </c>
      <c r="Q1061" s="16" t="s">
        <v>5491</v>
      </c>
      <c r="R1061" s="17" t="s">
        <v>5492</v>
      </c>
      <c r="S1061" s="11" t="s">
        <v>5493</v>
      </c>
      <c r="T1061" s="12"/>
      <c r="U1061" s="10" t="str">
        <f>HYPERLINK("https://pbs.twimg.com/profile_images/1055223802001612800/xA7tPc9X.jpg","View")</f>
        <v>View</v>
      </c>
    </row>
    <row r="1062" spans="1:21" ht="40.799999999999997">
      <c r="A1062" s="6">
        <v>43425.791550925926</v>
      </c>
      <c r="B1062" s="7" t="str">
        <f>HYPERLINK("https://twitter.com/ElierJulian","@ElierJulian")</f>
        <v>@ElierJulian</v>
      </c>
      <c r="C1062" s="8" t="s">
        <v>2706</v>
      </c>
      <c r="D1062" s="9" t="s">
        <v>2708</v>
      </c>
      <c r="E1062" s="10" t="str">
        <f>HYPERLINK("https://twitter.com/ElierJulian/status/1065303790411292675","1065303790411292675")</f>
        <v>1065303790411292675</v>
      </c>
      <c r="F1062" s="12"/>
      <c r="G1062" s="12"/>
      <c r="H1062" s="12"/>
      <c r="I1062" s="13">
        <v>0</v>
      </c>
      <c r="J1062" s="13">
        <v>0</v>
      </c>
      <c r="K1062" s="14" t="str">
        <f t="shared" si="222"/>
        <v>Twitter for Android</v>
      </c>
      <c r="L1062" s="13">
        <v>225</v>
      </c>
      <c r="M1062" s="13">
        <v>638</v>
      </c>
      <c r="N1062" s="13">
        <v>4</v>
      </c>
      <c r="O1062" s="15"/>
      <c r="P1062" s="6">
        <v>40852.953009259261</v>
      </c>
      <c r="Q1062" s="16" t="s">
        <v>2712</v>
      </c>
      <c r="R1062" s="17" t="s">
        <v>2713</v>
      </c>
      <c r="S1062" s="11" t="s">
        <v>2714</v>
      </c>
      <c r="T1062" s="12"/>
      <c r="U1062" s="10" t="str">
        <f>HYPERLINK("https://pbs.twimg.com/profile_images/378800000033556622/a8716c06bdb9d75e338bcddadacb4f7c.jpeg","View")</f>
        <v>View</v>
      </c>
    </row>
    <row r="1063" spans="1:21" ht="40.799999999999997">
      <c r="A1063" s="6">
        <v>43425.790636574078</v>
      </c>
      <c r="B1063" s="7" t="str">
        <f>HYPERLINK("https://twitter.com/fermont1965","@fermont1965")</f>
        <v>@fermont1965</v>
      </c>
      <c r="C1063" s="8" t="s">
        <v>3781</v>
      </c>
      <c r="D1063" s="9" t="s">
        <v>5499</v>
      </c>
      <c r="E1063" s="10" t="str">
        <f>HYPERLINK("https://twitter.com/fermont1965/status/1065303457450680320","1065303457450680320")</f>
        <v>1065303457450680320</v>
      </c>
      <c r="F1063" s="12"/>
      <c r="G1063" s="11" t="s">
        <v>5500</v>
      </c>
      <c r="H1063" s="12"/>
      <c r="I1063" s="13">
        <v>3</v>
      </c>
      <c r="J1063" s="13">
        <v>9</v>
      </c>
      <c r="K1063" s="14" t="str">
        <f>HYPERLINK("http://twitter.com","Twitter Web Client")</f>
        <v>Twitter Web Client</v>
      </c>
      <c r="L1063" s="13">
        <v>35300</v>
      </c>
      <c r="M1063" s="13">
        <v>9087</v>
      </c>
      <c r="N1063" s="13">
        <v>301</v>
      </c>
      <c r="O1063" s="15"/>
      <c r="P1063" s="6">
        <v>40608.760115740741</v>
      </c>
      <c r="Q1063" s="16" t="s">
        <v>3785</v>
      </c>
      <c r="R1063" s="17" t="s">
        <v>3786</v>
      </c>
      <c r="S1063" s="12"/>
      <c r="T1063" s="12"/>
      <c r="U1063" s="10" t="str">
        <f>HYPERLINK("https://pbs.twimg.com/profile_images/617818600326438912/_o-dirdy.jpg","View")</f>
        <v>View</v>
      </c>
    </row>
    <row r="1064" spans="1:21" ht="40.799999999999997">
      <c r="A1064" s="6">
        <v>43425.79006944444</v>
      </c>
      <c r="B1064" s="7" t="str">
        <f>HYPERLINK("https://twitter.com/daniiglesias_cs","@daniiglesias_cs")</f>
        <v>@daniiglesias_cs</v>
      </c>
      <c r="C1064" s="8" t="s">
        <v>2715</v>
      </c>
      <c r="D1064" s="9" t="s">
        <v>2716</v>
      </c>
      <c r="E1064" s="10" t="str">
        <f>HYPERLINK("https://twitter.com/daniiglesias_cs/status/1065303252500127744","1065303252500127744")</f>
        <v>1065303252500127744</v>
      </c>
      <c r="F1064" s="12"/>
      <c r="G1064" s="11" t="s">
        <v>2717</v>
      </c>
      <c r="H1064" s="12"/>
      <c r="I1064" s="13">
        <v>31</v>
      </c>
      <c r="J1064" s="13">
        <v>25</v>
      </c>
      <c r="K1064" s="14" t="str">
        <f t="shared" ref="K1064:K1065" si="223">HYPERLINK("http://twitter.com/download/android","Twitter for Android")</f>
        <v>Twitter for Android</v>
      </c>
      <c r="L1064" s="13">
        <v>2692</v>
      </c>
      <c r="M1064" s="13">
        <v>3922</v>
      </c>
      <c r="N1064" s="13">
        <v>31</v>
      </c>
      <c r="O1064" s="15"/>
      <c r="P1064" s="6">
        <v>41776.976354166669</v>
      </c>
      <c r="Q1064" s="16" t="s">
        <v>2718</v>
      </c>
      <c r="R1064" s="17" t="s">
        <v>2719</v>
      </c>
      <c r="S1064" s="11" t="s">
        <v>664</v>
      </c>
      <c r="T1064" s="12"/>
      <c r="U1064" s="10" t="str">
        <f>HYPERLINK("https://pbs.twimg.com/profile_images/1002672168445120513/lEdPxmhg.jpg","View")</f>
        <v>View</v>
      </c>
    </row>
    <row r="1065" spans="1:21" ht="40.799999999999997">
      <c r="A1065" s="6">
        <v>43425.7890625</v>
      </c>
      <c r="B1065" s="7" t="str">
        <f>HYPERLINK("https://twitter.com/mikos1111111","@mikos1111111")</f>
        <v>@mikos1111111</v>
      </c>
      <c r="C1065" s="8" t="s">
        <v>5513</v>
      </c>
      <c r="D1065" s="9" t="s">
        <v>5514</v>
      </c>
      <c r="E1065" s="10" t="str">
        <f>HYPERLINK("https://twitter.com/mikos1111111/status/1065302889491517440","1065302889491517440")</f>
        <v>1065302889491517440</v>
      </c>
      <c r="F1065" s="12"/>
      <c r="G1065" s="12"/>
      <c r="H1065" s="12"/>
      <c r="I1065" s="13">
        <v>0</v>
      </c>
      <c r="J1065" s="13">
        <v>2</v>
      </c>
      <c r="K1065" s="14" t="str">
        <f t="shared" si="223"/>
        <v>Twitter for Android</v>
      </c>
      <c r="L1065" s="13">
        <v>216</v>
      </c>
      <c r="M1065" s="13">
        <v>590</v>
      </c>
      <c r="N1065" s="13">
        <v>7</v>
      </c>
      <c r="O1065" s="15"/>
      <c r="P1065" s="6">
        <v>42547.95621527778</v>
      </c>
      <c r="Q1065" s="12"/>
      <c r="R1065" s="17" t="s">
        <v>5515</v>
      </c>
      <c r="S1065" s="12"/>
      <c r="T1065" s="12"/>
      <c r="U1065" s="10" t="str">
        <f>HYPERLINK("https://pbs.twimg.com/profile_images/975635270958747649/DV6y_WF1.jpg","View")</f>
        <v>View</v>
      </c>
    </row>
    <row r="1066" spans="1:21" ht="51">
      <c r="A1066" s="6">
        <v>43425.788981481484</v>
      </c>
      <c r="B1066" s="7" t="str">
        <f>HYPERLINK("https://twitter.com/Well086","@Well086")</f>
        <v>@Well086</v>
      </c>
      <c r="C1066" s="8" t="s">
        <v>5518</v>
      </c>
      <c r="D1066" s="9" t="s">
        <v>5140</v>
      </c>
      <c r="E1066" s="10" t="str">
        <f>HYPERLINK("https://twitter.com/Well086/status/1065302858113970176","1065302858113970176")</f>
        <v>1065302858113970176</v>
      </c>
      <c r="F1066" s="12"/>
      <c r="G1066" s="12"/>
      <c r="H1066" s="12"/>
      <c r="I1066" s="13">
        <v>4275</v>
      </c>
      <c r="J1066" s="13">
        <v>9199</v>
      </c>
      <c r="K1066" s="14" t="str">
        <f>HYPERLINK("http://twitter.com","Twitter Web Client")</f>
        <v>Twitter Web Client</v>
      </c>
      <c r="L1066" s="13">
        <v>80179</v>
      </c>
      <c r="M1066" s="13">
        <v>1679</v>
      </c>
      <c r="N1066" s="13">
        <v>414</v>
      </c>
      <c r="O1066" s="15"/>
      <c r="P1066" s="6">
        <v>40442.03743055556</v>
      </c>
      <c r="Q1066" s="16" t="s">
        <v>448</v>
      </c>
      <c r="R1066" s="17" t="s">
        <v>5520</v>
      </c>
      <c r="S1066" s="12"/>
      <c r="T1066" s="12"/>
      <c r="U1066" s="10" t="str">
        <f>HYPERLINK("https://pbs.twimg.com/profile_images/865817752845647872/HvsUmRKz.jpg","View")</f>
        <v>View</v>
      </c>
    </row>
    <row r="1067" spans="1:21" ht="51">
      <c r="A1067" s="6">
        <v>43425.787280092598</v>
      </c>
      <c r="B1067" s="7" t="str">
        <f>HYPERLINK("https://twitter.com/5pullingahead","@5pullingahead")</f>
        <v>@5pullingahead</v>
      </c>
      <c r="C1067" s="8" t="s">
        <v>5522</v>
      </c>
      <c r="D1067" s="9" t="s">
        <v>5523</v>
      </c>
      <c r="E1067" s="10" t="str">
        <f>HYPERLINK("https://twitter.com/5pullingahead/status/1065302241064701952","1065302241064701952")</f>
        <v>1065302241064701952</v>
      </c>
      <c r="F1067" s="16" t="s">
        <v>4127</v>
      </c>
      <c r="G1067" s="12"/>
      <c r="H1067" s="12"/>
      <c r="I1067" s="13">
        <v>0</v>
      </c>
      <c r="J1067" s="13">
        <v>0</v>
      </c>
      <c r="K1067" s="14" t="str">
        <f t="shared" ref="K1067:K1068" si="224">HYPERLINK("http://twitter.com/download/android","Twitter for Android")</f>
        <v>Twitter for Android</v>
      </c>
      <c r="L1067" s="13">
        <v>6837</v>
      </c>
      <c r="M1067" s="13">
        <v>6581</v>
      </c>
      <c r="N1067" s="13">
        <v>33</v>
      </c>
      <c r="O1067" s="15"/>
      <c r="P1067" s="6">
        <v>41953.011469907404</v>
      </c>
      <c r="Q1067" s="16" t="s">
        <v>5524</v>
      </c>
      <c r="R1067" s="17" t="s">
        <v>5525</v>
      </c>
      <c r="S1067" s="12"/>
      <c r="T1067" s="12"/>
      <c r="U1067" s="10" t="str">
        <f>HYPERLINK("https://pbs.twimg.com/profile_images/603672922096594947/KmyWRjzi.jpg","View")</f>
        <v>View</v>
      </c>
    </row>
    <row r="1068" spans="1:21" ht="81.599999999999994">
      <c r="A1068" s="6">
        <v>43425.785567129627</v>
      </c>
      <c r="B1068" s="7" t="str">
        <f>HYPERLINK("https://twitter.com/drverdad_HLPR","@drverdad_HLPR")</f>
        <v>@drverdad_HLPR</v>
      </c>
      <c r="C1068" s="8" t="s">
        <v>2720</v>
      </c>
      <c r="D1068" s="9" t="s">
        <v>2721</v>
      </c>
      <c r="E1068" s="10" t="str">
        <f>HYPERLINK("https://twitter.com/drverdad_HLPR/status/1065301622295797761","1065301622295797761")</f>
        <v>1065301622295797761</v>
      </c>
      <c r="F1068" s="11" t="s">
        <v>2722</v>
      </c>
      <c r="G1068" s="12"/>
      <c r="H1068" s="12"/>
      <c r="I1068" s="13">
        <v>0</v>
      </c>
      <c r="J1068" s="13">
        <v>0</v>
      </c>
      <c r="K1068" s="14" t="str">
        <f t="shared" si="224"/>
        <v>Twitter for Android</v>
      </c>
      <c r="L1068" s="13">
        <v>112</v>
      </c>
      <c r="M1068" s="13">
        <v>314</v>
      </c>
      <c r="N1068" s="13">
        <v>2</v>
      </c>
      <c r="O1068" s="15"/>
      <c r="P1068" s="6">
        <v>42997.826666666668</v>
      </c>
      <c r="Q1068" s="12"/>
      <c r="R1068" s="17" t="s">
        <v>2723</v>
      </c>
      <c r="S1068" s="12"/>
      <c r="T1068" s="12"/>
      <c r="U1068" s="10" t="str">
        <f>HYPERLINK("https://pbs.twimg.com/profile_images/910224143752286210/AipDNX5-.jpg","View")</f>
        <v>View</v>
      </c>
    </row>
    <row r="1069" spans="1:21" ht="40.799999999999997">
      <c r="A1069" s="6">
        <v>43425.784259259264</v>
      </c>
      <c r="B1069" s="7" t="str">
        <f>HYPERLINK("https://twitter.com/fermont1965","@fermont1965")</f>
        <v>@fermont1965</v>
      </c>
      <c r="C1069" s="8" t="s">
        <v>3781</v>
      </c>
      <c r="D1069" s="9" t="s">
        <v>5529</v>
      </c>
      <c r="E1069" s="10" t="str">
        <f>HYPERLINK("https://twitter.com/fermont1965/status/1065301146493952004","1065301146493952004")</f>
        <v>1065301146493952004</v>
      </c>
      <c r="F1069" s="12"/>
      <c r="G1069" s="11" t="s">
        <v>5530</v>
      </c>
      <c r="H1069" s="12"/>
      <c r="I1069" s="13">
        <v>86</v>
      </c>
      <c r="J1069" s="13">
        <v>167</v>
      </c>
      <c r="K1069" s="14" t="str">
        <f>HYPERLINK("http://twitter.com","Twitter Web Client")</f>
        <v>Twitter Web Client</v>
      </c>
      <c r="L1069" s="13">
        <v>35300</v>
      </c>
      <c r="M1069" s="13">
        <v>9087</v>
      </c>
      <c r="N1069" s="13">
        <v>301</v>
      </c>
      <c r="O1069" s="15"/>
      <c r="P1069" s="6">
        <v>40608.760115740741</v>
      </c>
      <c r="Q1069" s="16" t="s">
        <v>3785</v>
      </c>
      <c r="R1069" s="17" t="s">
        <v>3786</v>
      </c>
      <c r="S1069" s="12"/>
      <c r="T1069" s="12"/>
      <c r="U1069" s="10" t="str">
        <f>HYPERLINK("https://pbs.twimg.com/profile_images/617818600326438912/_o-dirdy.jpg","View")</f>
        <v>View</v>
      </c>
    </row>
    <row r="1070" spans="1:21" ht="30.6">
      <c r="A1070" s="6">
        <v>43425.783680555556</v>
      </c>
      <c r="B1070" s="7" t="str">
        <f>HYPERLINK("https://twitter.com/tatarlak","@tatarlak")</f>
        <v>@tatarlak</v>
      </c>
      <c r="C1070" s="8" t="s">
        <v>677</v>
      </c>
      <c r="D1070" s="9" t="s">
        <v>2726</v>
      </c>
      <c r="E1070" s="10" t="str">
        <f>HYPERLINK("https://twitter.com/tatarlak/status/1065300938104152064","1065300938104152064")</f>
        <v>1065300938104152064</v>
      </c>
      <c r="F1070" s="11" t="s">
        <v>2728</v>
      </c>
      <c r="G1070" s="12"/>
      <c r="H1070" s="12"/>
      <c r="I1070" s="13">
        <v>3</v>
      </c>
      <c r="J1070" s="13">
        <v>1</v>
      </c>
      <c r="K1070" s="14" t="str">
        <f>HYPERLINK("http://twitter.com/download/android","Twitter for Android")</f>
        <v>Twitter for Android</v>
      </c>
      <c r="L1070" s="13">
        <v>3535</v>
      </c>
      <c r="M1070" s="13">
        <v>4626</v>
      </c>
      <c r="N1070" s="13">
        <v>173</v>
      </c>
      <c r="O1070" s="15"/>
      <c r="P1070" s="6">
        <v>39942.875520833331</v>
      </c>
      <c r="Q1070" s="16" t="s">
        <v>682</v>
      </c>
      <c r="R1070" s="17" t="s">
        <v>683</v>
      </c>
      <c r="S1070" s="11" t="s">
        <v>684</v>
      </c>
      <c r="T1070" s="12"/>
      <c r="U1070" s="10" t="str">
        <f>HYPERLINK("https://pbs.twimg.com/profile_images/828645700825182209/EyWSNwMu.jpg","View")</f>
        <v>View</v>
      </c>
    </row>
    <row r="1071" spans="1:21" ht="40.799999999999997">
      <c r="A1071" s="6">
        <v>43425.782546296294</v>
      </c>
      <c r="B1071" s="7" t="str">
        <f>HYPERLINK("https://twitter.com/BlaancaNiieves","@BlaancaNiieves")</f>
        <v>@BlaancaNiieves</v>
      </c>
      <c r="C1071" s="8" t="s">
        <v>5176</v>
      </c>
      <c r="D1071" s="9" t="s">
        <v>5541</v>
      </c>
      <c r="E1071" s="10" t="str">
        <f>HYPERLINK("https://twitter.com/BlaancaNiieves/status/1065300527322460161","1065300527322460161")</f>
        <v>1065300527322460161</v>
      </c>
      <c r="F1071" s="11" t="s">
        <v>1228</v>
      </c>
      <c r="G1071" s="12"/>
      <c r="H1071" s="12"/>
      <c r="I1071" s="13">
        <v>2</v>
      </c>
      <c r="J1071" s="13">
        <v>1</v>
      </c>
      <c r="K1071" s="14" t="str">
        <f>HYPERLINK("http://twitter.com","Twitter Web Client")</f>
        <v>Twitter Web Client</v>
      </c>
      <c r="L1071" s="13">
        <v>12765</v>
      </c>
      <c r="M1071" s="13">
        <v>7062</v>
      </c>
      <c r="N1071" s="13">
        <v>179</v>
      </c>
      <c r="O1071" s="15"/>
      <c r="P1071" s="6">
        <v>40831.473078703704</v>
      </c>
      <c r="Q1071" s="16" t="s">
        <v>37</v>
      </c>
      <c r="R1071" s="17" t="s">
        <v>5182</v>
      </c>
      <c r="S1071" s="12"/>
      <c r="T1071" s="12"/>
      <c r="U1071" s="10" t="str">
        <f>HYPERLINK("https://pbs.twimg.com/profile_images/2470680169/wsbnexryuc29zw10olvt.jpeg","View")</f>
        <v>View</v>
      </c>
    </row>
    <row r="1072" spans="1:21" ht="51">
      <c r="A1072" s="6">
        <v>43425.782222222224</v>
      </c>
      <c r="B1072" s="7" t="str">
        <f>HYPERLINK("https://twitter.com/Albert_Rivera","@Albert_Rivera")</f>
        <v>@Albert_Rivera</v>
      </c>
      <c r="C1072" s="8" t="s">
        <v>389</v>
      </c>
      <c r="D1072" s="9" t="s">
        <v>5545</v>
      </c>
      <c r="E1072" s="10" t="str">
        <f>HYPERLINK("https://twitter.com/Albert_Rivera/status/1065300407050735618","1065300407050735618")</f>
        <v>1065300407050735618</v>
      </c>
      <c r="F1072" s="11" t="s">
        <v>5546</v>
      </c>
      <c r="G1072" s="12"/>
      <c r="H1072" s="12"/>
      <c r="I1072" s="13">
        <v>643</v>
      </c>
      <c r="J1072" s="13">
        <v>883</v>
      </c>
      <c r="K1072" s="14" t="str">
        <f t="shared" ref="K1072:K1073" si="225">HYPERLINK("http://twitter.com/download/iphone","Twitter for iPhone")</f>
        <v>Twitter for iPhone</v>
      </c>
      <c r="L1072" s="13">
        <v>1071530</v>
      </c>
      <c r="M1072" s="13">
        <v>2545</v>
      </c>
      <c r="N1072" s="13">
        <v>5104</v>
      </c>
      <c r="O1072" s="18" t="s">
        <v>36</v>
      </c>
      <c r="P1072" s="6">
        <v>40205.748171296298</v>
      </c>
      <c r="Q1072" s="16" t="s">
        <v>37</v>
      </c>
      <c r="R1072" s="17" t="s">
        <v>393</v>
      </c>
      <c r="S1072" s="11" t="s">
        <v>394</v>
      </c>
      <c r="T1072" s="12"/>
      <c r="U1072" s="10" t="str">
        <f>HYPERLINK("https://pbs.twimg.com/profile_images/1030708936779988993/RncDM4EZ.jpg","View")</f>
        <v>View</v>
      </c>
    </row>
    <row r="1073" spans="1:21" ht="81.599999999999994">
      <c r="A1073" s="6">
        <v>43425.781990740739</v>
      </c>
      <c r="B1073" s="7" t="str">
        <f>HYPERLINK("https://twitter.com/Jfdezgo90","@Jfdezgo90")</f>
        <v>@Jfdezgo90</v>
      </c>
      <c r="C1073" s="8" t="s">
        <v>2732</v>
      </c>
      <c r="D1073" s="9" t="s">
        <v>2733</v>
      </c>
      <c r="E1073" s="10" t="str">
        <f>HYPERLINK("https://twitter.com/Jfdezgo90/status/1065300323718320139","1065300323718320139")</f>
        <v>1065300323718320139</v>
      </c>
      <c r="F1073" s="16" t="s">
        <v>2735</v>
      </c>
      <c r="G1073" s="12"/>
      <c r="H1073" s="12"/>
      <c r="I1073" s="13">
        <v>0</v>
      </c>
      <c r="J1073" s="13">
        <v>0</v>
      </c>
      <c r="K1073" s="14" t="str">
        <f t="shared" si="225"/>
        <v>Twitter for iPhone</v>
      </c>
      <c r="L1073" s="13">
        <v>1899</v>
      </c>
      <c r="M1073" s="13">
        <v>4115</v>
      </c>
      <c r="N1073" s="13">
        <v>13</v>
      </c>
      <c r="O1073" s="15"/>
      <c r="P1073" s="6">
        <v>41800.661921296298</v>
      </c>
      <c r="Q1073" s="16" t="s">
        <v>2736</v>
      </c>
      <c r="R1073" s="17" t="s">
        <v>2737</v>
      </c>
      <c r="S1073" s="11" t="s">
        <v>2738</v>
      </c>
      <c r="T1073" s="12"/>
      <c r="U1073" s="10" t="str">
        <f>HYPERLINK("https://pbs.twimg.com/profile_images/1013847005817442306/8BV0q5Ut.jpg","View")</f>
        <v>View</v>
      </c>
    </row>
    <row r="1074" spans="1:21" ht="51">
      <c r="A1074" s="6">
        <v>43425.780995370369</v>
      </c>
      <c r="B1074" s="7" t="str">
        <f>HYPERLINK("https://twitter.com/cct100","@cct100")</f>
        <v>@cct100</v>
      </c>
      <c r="C1074" s="8" t="s">
        <v>2741</v>
      </c>
      <c r="D1074" s="9" t="s">
        <v>2742</v>
      </c>
      <c r="E1074" s="10" t="str">
        <f>HYPERLINK("https://twitter.com/cct100/status/1065299962836209664","1065299962836209664")</f>
        <v>1065299962836209664</v>
      </c>
      <c r="F1074" s="11" t="s">
        <v>2743</v>
      </c>
      <c r="G1074" s="11" t="s">
        <v>2745</v>
      </c>
      <c r="H1074" s="12"/>
      <c r="I1074" s="13">
        <v>0</v>
      </c>
      <c r="J1074" s="13">
        <v>0</v>
      </c>
      <c r="K1074" s="14" t="str">
        <f>HYPERLINK("http://twitter.com/download/android","Twitter for Android")</f>
        <v>Twitter for Android</v>
      </c>
      <c r="L1074" s="13">
        <v>153</v>
      </c>
      <c r="M1074" s="13">
        <v>300</v>
      </c>
      <c r="N1074" s="13">
        <v>0</v>
      </c>
      <c r="O1074" s="15"/>
      <c r="P1074" s="6">
        <v>40929.442245370374</v>
      </c>
      <c r="Q1074" s="12"/>
      <c r="R1074" s="17" t="s">
        <v>2746</v>
      </c>
      <c r="S1074" s="12"/>
      <c r="T1074" s="12"/>
      <c r="U1074" s="10" t="str">
        <f>HYPERLINK("https://pbs.twimg.com/profile_images/969927383921909760/CYynWHv5.jpg","View")</f>
        <v>View</v>
      </c>
    </row>
    <row r="1075" spans="1:21" ht="51">
      <c r="A1075" s="6">
        <v>43425.780844907407</v>
      </c>
      <c r="B1075" s="7" t="str">
        <f>HYPERLINK("https://twitter.com/BlaancaNiieves","@BlaancaNiieves")</f>
        <v>@BlaancaNiieves</v>
      </c>
      <c r="C1075" s="8" t="s">
        <v>5176</v>
      </c>
      <c r="D1075" s="9" t="s">
        <v>5554</v>
      </c>
      <c r="E1075" s="10" t="str">
        <f>HYPERLINK("https://twitter.com/BlaancaNiieves/status/1065299910893989892","1065299910893989892")</f>
        <v>1065299910893989892</v>
      </c>
      <c r="F1075" s="16" t="s">
        <v>5555</v>
      </c>
      <c r="G1075" s="12"/>
      <c r="H1075" s="12"/>
      <c r="I1075" s="13">
        <v>3</v>
      </c>
      <c r="J1075" s="13">
        <v>1</v>
      </c>
      <c r="K1075" s="14" t="str">
        <f>HYPERLINK("http://twitter.com","Twitter Web Client")</f>
        <v>Twitter Web Client</v>
      </c>
      <c r="L1075" s="13">
        <v>12765</v>
      </c>
      <c r="M1075" s="13">
        <v>7062</v>
      </c>
      <c r="N1075" s="13">
        <v>179</v>
      </c>
      <c r="O1075" s="15"/>
      <c r="P1075" s="6">
        <v>40831.473078703704</v>
      </c>
      <c r="Q1075" s="16" t="s">
        <v>37</v>
      </c>
      <c r="R1075" s="17" t="s">
        <v>5182</v>
      </c>
      <c r="S1075" s="12"/>
      <c r="T1075" s="12"/>
      <c r="U1075" s="10" t="str">
        <f>HYPERLINK("https://pbs.twimg.com/profile_images/2470680169/wsbnexryuc29zw10olvt.jpeg","View")</f>
        <v>View</v>
      </c>
    </row>
    <row r="1076" spans="1:21" ht="30.6">
      <c r="A1076" s="6">
        <v>43425.780833333338</v>
      </c>
      <c r="B1076" s="7" t="str">
        <f>HYPERLINK("https://twitter.com/gonzaonce","@gonzaonce")</f>
        <v>@gonzaonce</v>
      </c>
      <c r="C1076" s="8" t="s">
        <v>2747</v>
      </c>
      <c r="D1076" s="9" t="s">
        <v>2748</v>
      </c>
      <c r="E1076" s="10" t="str">
        <f>HYPERLINK("https://twitter.com/gonzaonce/status/1065299904023748609","1065299904023748609")</f>
        <v>1065299904023748609</v>
      </c>
      <c r="F1076" s="12"/>
      <c r="G1076" s="12"/>
      <c r="H1076" s="12"/>
      <c r="I1076" s="13">
        <v>0</v>
      </c>
      <c r="J1076" s="13">
        <v>0</v>
      </c>
      <c r="K1076" s="14" t="str">
        <f t="shared" ref="K1076:K1077" si="226">HYPERLINK("http://twitter.com/download/android","Twitter for Android")</f>
        <v>Twitter for Android</v>
      </c>
      <c r="L1076" s="13">
        <v>337</v>
      </c>
      <c r="M1076" s="13">
        <v>168</v>
      </c>
      <c r="N1076" s="13">
        <v>13</v>
      </c>
      <c r="O1076" s="15"/>
      <c r="P1076" s="6">
        <v>40623.626967592594</v>
      </c>
      <c r="Q1076" s="16" t="s">
        <v>2751</v>
      </c>
      <c r="R1076" s="17" t="s">
        <v>2752</v>
      </c>
      <c r="S1076" s="11" t="s">
        <v>2753</v>
      </c>
      <c r="T1076" s="12"/>
      <c r="U1076" s="10" t="str">
        <f>HYPERLINK("https://pbs.twimg.com/profile_images/623040056304009216/yAcLIaU1.jpg","View")</f>
        <v>View</v>
      </c>
    </row>
    <row r="1077" spans="1:21" ht="13.2">
      <c r="A1077" s="6">
        <v>43425.780740740738</v>
      </c>
      <c r="B1077" s="7" t="str">
        <f>HYPERLINK("https://twitter.com/RafaelTejadaGal","@RafaelTejadaGal")</f>
        <v>@RafaelTejadaGal</v>
      </c>
      <c r="C1077" s="8" t="s">
        <v>5559</v>
      </c>
      <c r="D1077" s="9" t="s">
        <v>5560</v>
      </c>
      <c r="E1077" s="10" t="str">
        <f>HYPERLINK("https://twitter.com/RafaelTejadaGal/status/1065299872839024641","1065299872839024641")</f>
        <v>1065299872839024641</v>
      </c>
      <c r="F1077" s="11" t="s">
        <v>1700</v>
      </c>
      <c r="G1077" s="12"/>
      <c r="H1077" s="12"/>
      <c r="I1077" s="13">
        <v>0</v>
      </c>
      <c r="J1077" s="13">
        <v>0</v>
      </c>
      <c r="K1077" s="14" t="str">
        <f t="shared" si="226"/>
        <v>Twitter for Android</v>
      </c>
      <c r="L1077" s="13">
        <v>169</v>
      </c>
      <c r="M1077" s="13">
        <v>277</v>
      </c>
      <c r="N1077" s="13">
        <v>4</v>
      </c>
      <c r="O1077" s="15"/>
      <c r="P1077" s="6">
        <v>40982.857546296298</v>
      </c>
      <c r="Q1077" s="12"/>
      <c r="R1077" s="19"/>
      <c r="S1077" s="12"/>
      <c r="T1077" s="12"/>
      <c r="U1077" s="10" t="str">
        <f>HYPERLINK("https://pbs.twimg.com/profile_images/478571569178882048/JwuCFURs.jpeg","View")</f>
        <v>View</v>
      </c>
    </row>
    <row r="1078" spans="1:21" ht="51">
      <c r="A1078" s="6">
        <v>43425.780532407407</v>
      </c>
      <c r="B1078" s="7" t="str">
        <f>HYPERLINK("https://twitter.com/sangarvi","@sangarvi")</f>
        <v>@sangarvi</v>
      </c>
      <c r="C1078" s="8" t="s">
        <v>5563</v>
      </c>
      <c r="D1078" s="9" t="s">
        <v>5565</v>
      </c>
      <c r="E1078" s="10" t="str">
        <f>HYPERLINK("https://twitter.com/sangarvi/status/1065299796729257986","1065299796729257986")</f>
        <v>1065299796729257986</v>
      </c>
      <c r="F1078" s="12"/>
      <c r="G1078" s="12"/>
      <c r="H1078" s="12"/>
      <c r="I1078" s="13">
        <v>0</v>
      </c>
      <c r="J1078" s="13">
        <v>0</v>
      </c>
      <c r="K1078" s="14" t="str">
        <f t="shared" ref="K1078:K1079" si="227">HYPERLINK("http://twitter.com","Twitter Web Client")</f>
        <v>Twitter Web Client</v>
      </c>
      <c r="L1078" s="13">
        <v>698</v>
      </c>
      <c r="M1078" s="13">
        <v>1261</v>
      </c>
      <c r="N1078" s="13">
        <v>29</v>
      </c>
      <c r="O1078" s="15"/>
      <c r="P1078" s="6">
        <v>40205.838055555556</v>
      </c>
      <c r="Q1078" s="16" t="s">
        <v>5567</v>
      </c>
      <c r="R1078" s="17" t="s">
        <v>5568</v>
      </c>
      <c r="S1078" s="12"/>
      <c r="T1078" s="12"/>
      <c r="U1078" s="10" t="str">
        <f>HYPERLINK("https://pbs.twimg.com/profile_images/1041416199169630210/NdfW9AOo.jpg","View")</f>
        <v>View</v>
      </c>
    </row>
    <row r="1079" spans="1:21" ht="40.799999999999997">
      <c r="A1079" s="6">
        <v>43425.776921296296</v>
      </c>
      <c r="B1079" s="7" t="str">
        <f>HYPERLINK("https://twitter.com/Sanfermin00","@Sanfermin00")</f>
        <v>@Sanfermin00</v>
      </c>
      <c r="C1079" s="8" t="s">
        <v>5571</v>
      </c>
      <c r="D1079" s="9" t="s">
        <v>556</v>
      </c>
      <c r="E1079" s="10" t="str">
        <f>HYPERLINK("https://twitter.com/Sanfermin00/status/1065298488798384128","1065298488798384128")</f>
        <v>1065298488798384128</v>
      </c>
      <c r="F1079" s="11" t="s">
        <v>557</v>
      </c>
      <c r="G1079" s="12"/>
      <c r="H1079" s="12"/>
      <c r="I1079" s="13">
        <v>0</v>
      </c>
      <c r="J1079" s="13">
        <v>0</v>
      </c>
      <c r="K1079" s="14" t="str">
        <f t="shared" si="227"/>
        <v>Twitter Web Client</v>
      </c>
      <c r="L1079" s="13">
        <v>16392</v>
      </c>
      <c r="M1079" s="13">
        <v>13582</v>
      </c>
      <c r="N1079" s="13">
        <v>124</v>
      </c>
      <c r="O1079" s="15"/>
      <c r="P1079" s="6">
        <v>42362.637083333335</v>
      </c>
      <c r="Q1079" s="16" t="s">
        <v>5573</v>
      </c>
      <c r="R1079" s="17" t="s">
        <v>5574</v>
      </c>
      <c r="S1079" s="11" t="s">
        <v>5575</v>
      </c>
      <c r="T1079" s="12"/>
      <c r="U1079" s="10" t="str">
        <f>HYPERLINK("https://pbs.twimg.com/profile_images/1064102923624480768/j11dV2-u.jpg","View")</f>
        <v>View</v>
      </c>
    </row>
    <row r="1080" spans="1:21" ht="40.799999999999997">
      <c r="A1080" s="6">
        <v>43425.775543981479</v>
      </c>
      <c r="B1080" s="7" t="str">
        <f>HYPERLINK("https://twitter.com/herat96","@herat96")</f>
        <v>@herat96</v>
      </c>
      <c r="C1080" s="8" t="s">
        <v>2754</v>
      </c>
      <c r="D1080" s="9" t="s">
        <v>2755</v>
      </c>
      <c r="E1080" s="10" t="str">
        <f>HYPERLINK("https://twitter.com/herat96/status/1065297989642670081","1065297989642670081")</f>
        <v>1065297989642670081</v>
      </c>
      <c r="F1080" s="16" t="s">
        <v>2570</v>
      </c>
      <c r="G1080" s="11" t="s">
        <v>2571</v>
      </c>
      <c r="H1080" s="12"/>
      <c r="I1080" s="13">
        <v>0</v>
      </c>
      <c r="J1080" s="13">
        <v>0</v>
      </c>
      <c r="K1080" s="14" t="str">
        <f>HYPERLINK("http://twitter.com/download/android","Twitter for Android")</f>
        <v>Twitter for Android</v>
      </c>
      <c r="L1080" s="13">
        <v>371</v>
      </c>
      <c r="M1080" s="13">
        <v>337</v>
      </c>
      <c r="N1080" s="13">
        <v>1</v>
      </c>
      <c r="O1080" s="15"/>
      <c r="P1080" s="6">
        <v>42742.6799537037</v>
      </c>
      <c r="Q1080" s="16" t="s">
        <v>106</v>
      </c>
      <c r="R1080" s="17" t="s">
        <v>2756</v>
      </c>
      <c r="S1080" s="12"/>
      <c r="T1080" s="12"/>
      <c r="U1080" s="10" t="str">
        <f>HYPERLINK("https://pbs.twimg.com/profile_images/1035262389564923904/SNwzmUw5.jpg","View")</f>
        <v>View</v>
      </c>
    </row>
    <row r="1081" spans="1:21" ht="40.799999999999997">
      <c r="A1081" s="6">
        <v>43425.774641203709</v>
      </c>
      <c r="B1081" s="7" t="str">
        <f>HYPERLINK("https://twitter.com/jluriziglesias","@jluriziglesias")</f>
        <v>@jluriziglesias</v>
      </c>
      <c r="C1081" s="8" t="s">
        <v>2757</v>
      </c>
      <c r="D1081" s="9" t="s">
        <v>2758</v>
      </c>
      <c r="E1081" s="10" t="str">
        <f>HYPERLINK("https://twitter.com/jluriziglesias/status/1065297660020699136","1065297660020699136")</f>
        <v>1065297660020699136</v>
      </c>
      <c r="F1081" s="11" t="s">
        <v>2760</v>
      </c>
      <c r="G1081" s="12"/>
      <c r="H1081" s="12"/>
      <c r="I1081" s="13">
        <v>0</v>
      </c>
      <c r="J1081" s="13">
        <v>0</v>
      </c>
      <c r="K1081" s="14" t="str">
        <f>HYPERLINK("http://twitter.com","Twitter Web Client")</f>
        <v>Twitter Web Client</v>
      </c>
      <c r="L1081" s="13">
        <v>799</v>
      </c>
      <c r="M1081" s="13">
        <v>1717</v>
      </c>
      <c r="N1081" s="13">
        <v>5</v>
      </c>
      <c r="O1081" s="15"/>
      <c r="P1081" s="6">
        <v>42674.76761574074</v>
      </c>
      <c r="Q1081" s="16" t="s">
        <v>2761</v>
      </c>
      <c r="R1081" s="17" t="s">
        <v>2762</v>
      </c>
      <c r="S1081" s="11" t="s">
        <v>2763</v>
      </c>
      <c r="T1081" s="12"/>
      <c r="U1081" s="10" t="str">
        <f>HYPERLINK("https://pbs.twimg.com/profile_images/1046674209034948608/AybFlj93.jpg","View")</f>
        <v>View</v>
      </c>
    </row>
    <row r="1082" spans="1:21" ht="30.6">
      <c r="A1082" s="6">
        <v>43425.774537037039</v>
      </c>
      <c r="B1082" s="7" t="str">
        <f>HYPERLINK("https://twitter.com/Cs_Andalucia","@Cs_Andalucia")</f>
        <v>@Cs_Andalucia</v>
      </c>
      <c r="C1082" s="8" t="s">
        <v>900</v>
      </c>
      <c r="D1082" s="9" t="s">
        <v>901</v>
      </c>
      <c r="E1082" s="10" t="str">
        <f>HYPERLINK("https://twitter.com/Cs_Andalucia/status/1065297623349903360","1065297623349903360")</f>
        <v>1065297623349903360</v>
      </c>
      <c r="F1082" s="11" t="s">
        <v>902</v>
      </c>
      <c r="G1082" s="12"/>
      <c r="H1082" s="12"/>
      <c r="I1082" s="13">
        <v>31</v>
      </c>
      <c r="J1082" s="13">
        <v>31</v>
      </c>
      <c r="K1082" s="14" t="str">
        <f>HYPERLINK("https://www.hootsuite.com","Hootsuite Inc.")</f>
        <v>Hootsuite Inc.</v>
      </c>
      <c r="L1082" s="13">
        <v>23662</v>
      </c>
      <c r="M1082" s="13">
        <v>1953</v>
      </c>
      <c r="N1082" s="13">
        <v>283</v>
      </c>
      <c r="O1082" s="18" t="s">
        <v>36</v>
      </c>
      <c r="P1082" s="6">
        <v>41486.77375</v>
      </c>
      <c r="Q1082" s="16" t="s">
        <v>181</v>
      </c>
      <c r="R1082" s="17" t="s">
        <v>903</v>
      </c>
      <c r="S1082" s="11" t="s">
        <v>904</v>
      </c>
      <c r="T1082" s="12"/>
      <c r="U1082" s="10" t="str">
        <f>HYPERLINK("https://pbs.twimg.com/profile_images/1058695543705231360/iGNXhBmQ.jpg","View")</f>
        <v>View</v>
      </c>
    </row>
    <row r="1083" spans="1:21" ht="40.799999999999997">
      <c r="A1083" s="6">
        <v>43425.773032407407</v>
      </c>
      <c r="B1083" s="7" t="str">
        <f>HYPERLINK("https://twitter.com/pepinhosbrown1","@pepinhosbrown1")</f>
        <v>@pepinhosbrown1</v>
      </c>
      <c r="C1083" s="8" t="s">
        <v>5585</v>
      </c>
      <c r="D1083" s="9" t="s">
        <v>5586</v>
      </c>
      <c r="E1083" s="10" t="str">
        <f>HYPERLINK("https://twitter.com/pepinhosbrown1/status/1065297079822675969","1065297079822675969")</f>
        <v>1065297079822675969</v>
      </c>
      <c r="F1083" s="12"/>
      <c r="G1083" s="12"/>
      <c r="H1083" s="12"/>
      <c r="I1083" s="13">
        <v>0</v>
      </c>
      <c r="J1083" s="13">
        <v>0</v>
      </c>
      <c r="K1083" s="14" t="str">
        <f>HYPERLINK("https://mobile.twitter.com","Twitter Lite")</f>
        <v>Twitter Lite</v>
      </c>
      <c r="L1083" s="13">
        <v>37</v>
      </c>
      <c r="M1083" s="13">
        <v>99</v>
      </c>
      <c r="N1083" s="13">
        <v>0</v>
      </c>
      <c r="O1083" s="15"/>
      <c r="P1083" s="6">
        <v>41224.725775462961</v>
      </c>
      <c r="Q1083" s="16" t="s">
        <v>5587</v>
      </c>
      <c r="R1083" s="17" t="s">
        <v>5588</v>
      </c>
      <c r="S1083" s="12"/>
      <c r="T1083" s="12"/>
      <c r="U1083" s="10" t="str">
        <f>HYPERLINK("https://pbs.twimg.com/profile_images/3151995306/262f271208a1d684452f89b25e519b9d.jpeg","View")</f>
        <v>View</v>
      </c>
    </row>
    <row r="1084" spans="1:21" ht="40.799999999999997">
      <c r="A1084" s="6">
        <v>43425.772499999999</v>
      </c>
      <c r="B1084" s="7" t="str">
        <f>HYPERLINK("https://twitter.com/pakoelperro","@pakoelperro")</f>
        <v>@pakoelperro</v>
      </c>
      <c r="C1084" s="8" t="s">
        <v>5590</v>
      </c>
      <c r="D1084" s="9" t="s">
        <v>5591</v>
      </c>
      <c r="E1084" s="10" t="str">
        <f>HYPERLINK("https://twitter.com/pakoelperro/status/1065296884179369984","1065296884179369984")</f>
        <v>1065296884179369984</v>
      </c>
      <c r="F1084" s="12"/>
      <c r="G1084" s="12"/>
      <c r="H1084" s="12"/>
      <c r="I1084" s="13">
        <v>1</v>
      </c>
      <c r="J1084" s="13">
        <v>0</v>
      </c>
      <c r="K1084" s="14" t="str">
        <f>HYPERLINK("http://twitter.com/download/android","Twitter for Android")</f>
        <v>Twitter for Android</v>
      </c>
      <c r="L1084" s="13">
        <v>1182</v>
      </c>
      <c r="M1084" s="13">
        <v>850</v>
      </c>
      <c r="N1084" s="13">
        <v>11</v>
      </c>
      <c r="O1084" s="15"/>
      <c r="P1084" s="6">
        <v>41509.570254629631</v>
      </c>
      <c r="Q1084" s="16" t="s">
        <v>5592</v>
      </c>
      <c r="R1084" s="17" t="s">
        <v>5593</v>
      </c>
      <c r="S1084" s="12"/>
      <c r="T1084" s="12"/>
      <c r="U1084" s="10" t="str">
        <f>HYPERLINK("https://pbs.twimg.com/profile_images/1014616099625799680/MBBIwUuN.jpg","View")</f>
        <v>View</v>
      </c>
    </row>
    <row r="1085" spans="1:21" ht="30.6">
      <c r="A1085" s="6">
        <v>43425.772222222222</v>
      </c>
      <c r="B1085" s="7" t="str">
        <f>HYPERLINK("https://twitter.com/Tremending","@Tremending")</f>
        <v>@Tremending</v>
      </c>
      <c r="C1085" s="8" t="s">
        <v>1962</v>
      </c>
      <c r="D1085" s="9" t="s">
        <v>5596</v>
      </c>
      <c r="E1085" s="10" t="str">
        <f>HYPERLINK("https://twitter.com/Tremending/status/1065296784543514624","1065296784543514624")</f>
        <v>1065296784543514624</v>
      </c>
      <c r="F1085" s="11" t="s">
        <v>495</v>
      </c>
      <c r="G1085" s="12"/>
      <c r="H1085" s="12"/>
      <c r="I1085" s="13">
        <v>6</v>
      </c>
      <c r="J1085" s="13">
        <v>11</v>
      </c>
      <c r="K1085" s="14" t="str">
        <f>HYPERLINK("https://about.twitter.com/products/tweetdeck","TweetDeck")</f>
        <v>TweetDeck</v>
      </c>
      <c r="L1085" s="13">
        <v>54663</v>
      </c>
      <c r="M1085" s="13">
        <v>4</v>
      </c>
      <c r="N1085" s="13">
        <v>522</v>
      </c>
      <c r="O1085" s="18" t="s">
        <v>36</v>
      </c>
      <c r="P1085" s="6">
        <v>41765.962523148148</v>
      </c>
      <c r="Q1085" s="16" t="s">
        <v>1967</v>
      </c>
      <c r="R1085" s="17" t="s">
        <v>1968</v>
      </c>
      <c r="S1085" s="11" t="s">
        <v>1969</v>
      </c>
      <c r="T1085" s="12"/>
      <c r="U1085" s="10" t="str">
        <f>HYPERLINK("https://pbs.twimg.com/profile_images/801030804914704384/GSMNihQ_.jpg","View")</f>
        <v>View</v>
      </c>
    </row>
    <row r="1086" spans="1:21" ht="71.400000000000006">
      <c r="A1086" s="6">
        <v>43425.771527777775</v>
      </c>
      <c r="B1086" s="7" t="str">
        <f>HYPERLINK("https://twitter.com/msocial_esp","@msocial_esp")</f>
        <v>@msocial_esp</v>
      </c>
      <c r="C1086" s="8" t="s">
        <v>174</v>
      </c>
      <c r="D1086" s="9" t="s">
        <v>2766</v>
      </c>
      <c r="E1086" s="10" t="str">
        <f>HYPERLINK("https://twitter.com/msocial_esp/status/1065296532088545280","1065296532088545280")</f>
        <v>1065296532088545280</v>
      </c>
      <c r="F1086" s="16" t="s">
        <v>2148</v>
      </c>
      <c r="G1086" s="12"/>
      <c r="H1086" s="12"/>
      <c r="I1086" s="13">
        <v>0</v>
      </c>
      <c r="J1086" s="13">
        <v>0</v>
      </c>
      <c r="K1086" s="14" t="str">
        <f>HYPERLINK("http://twitter.com/download/android","Twitter for Android")</f>
        <v>Twitter for Android</v>
      </c>
      <c r="L1086" s="13">
        <v>288</v>
      </c>
      <c r="M1086" s="13">
        <v>658</v>
      </c>
      <c r="N1086" s="13">
        <v>5</v>
      </c>
      <c r="O1086" s="15"/>
      <c r="P1086" s="6">
        <v>41156.037418981483</v>
      </c>
      <c r="Q1086" s="12"/>
      <c r="R1086" s="17" t="s">
        <v>177</v>
      </c>
      <c r="S1086" s="11" t="s">
        <v>178</v>
      </c>
      <c r="T1086" s="12"/>
      <c r="U1086" s="10" t="str">
        <f>HYPERLINK("https://pbs.twimg.com/profile_images/2575843898/mlfg2522j08948lle80q.jpeg","View")</f>
        <v>View</v>
      </c>
    </row>
    <row r="1087" spans="1:21" ht="61.2">
      <c r="A1087" s="6">
        <v>43425.770023148143</v>
      </c>
      <c r="B1087" s="7" t="str">
        <f>HYPERLINK("https://twitter.com/Otto_Mas","@Otto_Mas")</f>
        <v>@Otto_Mas</v>
      </c>
      <c r="C1087" s="8" t="s">
        <v>5601</v>
      </c>
      <c r="D1087" s="9" t="s">
        <v>5602</v>
      </c>
      <c r="E1087" s="10" t="str">
        <f>HYPERLINK("https://twitter.com/Otto_Mas/status/1065295989161033728","1065295989161033728")</f>
        <v>1065295989161033728</v>
      </c>
      <c r="F1087" s="16" t="s">
        <v>3118</v>
      </c>
      <c r="G1087" s="11" t="s">
        <v>2571</v>
      </c>
      <c r="H1087" s="12"/>
      <c r="I1087" s="13">
        <v>0</v>
      </c>
      <c r="J1087" s="13">
        <v>3</v>
      </c>
      <c r="K1087" s="14" t="str">
        <f t="shared" ref="K1087:K1089" si="228">HYPERLINK("http://twitter.com/download/iphone","Twitter for iPhone")</f>
        <v>Twitter for iPhone</v>
      </c>
      <c r="L1087" s="13">
        <v>5945</v>
      </c>
      <c r="M1087" s="13">
        <v>500</v>
      </c>
      <c r="N1087" s="13">
        <v>75</v>
      </c>
      <c r="O1087" s="15"/>
      <c r="P1087" s="6">
        <v>39771.532152777778</v>
      </c>
      <c r="Q1087" s="16" t="s">
        <v>5605</v>
      </c>
      <c r="R1087" s="17" t="s">
        <v>5606</v>
      </c>
      <c r="S1087" s="11" t="s">
        <v>5608</v>
      </c>
      <c r="T1087" s="12"/>
      <c r="U1087" s="10" t="str">
        <f>HYPERLINK("https://pbs.twimg.com/profile_images/1027494983467773952/YPfyUnYf.jpg","View")</f>
        <v>View</v>
      </c>
    </row>
    <row r="1088" spans="1:21" ht="40.799999999999997">
      <c r="A1088" s="6">
        <v>43425.766840277778</v>
      </c>
      <c r="B1088" s="7" t="str">
        <f>HYPERLINK("https://twitter.com/Bonozevolik","@Bonozevolik")</f>
        <v>@Bonozevolik</v>
      </c>
      <c r="C1088" s="8" t="s">
        <v>5609</v>
      </c>
      <c r="D1088" s="9" t="s">
        <v>5610</v>
      </c>
      <c r="E1088" s="10" t="str">
        <f>HYPERLINK("https://twitter.com/Bonozevolik/status/1065294833852522498","1065294833852522498")</f>
        <v>1065294833852522498</v>
      </c>
      <c r="F1088" s="12"/>
      <c r="G1088" s="12"/>
      <c r="H1088" s="12"/>
      <c r="I1088" s="13">
        <v>0</v>
      </c>
      <c r="J1088" s="13">
        <v>0</v>
      </c>
      <c r="K1088" s="14" t="str">
        <f t="shared" si="228"/>
        <v>Twitter for iPhone</v>
      </c>
      <c r="L1088" s="13">
        <v>370</v>
      </c>
      <c r="M1088" s="13">
        <v>586</v>
      </c>
      <c r="N1088" s="13">
        <v>27</v>
      </c>
      <c r="O1088" s="15"/>
      <c r="P1088" s="6">
        <v>40195.685590277775</v>
      </c>
      <c r="Q1088" s="16" t="s">
        <v>3129</v>
      </c>
      <c r="R1088" s="17" t="s">
        <v>5612</v>
      </c>
      <c r="S1088" s="12"/>
      <c r="T1088" s="12"/>
      <c r="U1088" s="10" t="str">
        <f>HYPERLINK("https://pbs.twimg.com/profile_images/1001167484509212674/k5b3BmoQ.jpg","View")</f>
        <v>View</v>
      </c>
    </row>
    <row r="1089" spans="1:21" ht="40.799999999999997">
      <c r="A1089" s="6">
        <v>43425.766006944439</v>
      </c>
      <c r="B1089" s="7" t="str">
        <f>HYPERLINK("https://twitter.com/BeatrixHido","@BeatrixHido")</f>
        <v>@BeatrixHido</v>
      </c>
      <c r="C1089" s="8" t="s">
        <v>5614</v>
      </c>
      <c r="D1089" s="9" t="s">
        <v>5615</v>
      </c>
      <c r="E1089" s="10" t="str">
        <f>HYPERLINK("https://twitter.com/BeatrixHido/status/1065294532265345024","1065294532265345024")</f>
        <v>1065294532265345024</v>
      </c>
      <c r="F1089" s="12"/>
      <c r="G1089" s="12"/>
      <c r="H1089" s="12"/>
      <c r="I1089" s="13">
        <v>0</v>
      </c>
      <c r="J1089" s="13">
        <v>3</v>
      </c>
      <c r="K1089" s="14" t="str">
        <f t="shared" si="228"/>
        <v>Twitter for iPhone</v>
      </c>
      <c r="L1089" s="13">
        <v>197</v>
      </c>
      <c r="M1089" s="13">
        <v>583</v>
      </c>
      <c r="N1089" s="13">
        <v>1</v>
      </c>
      <c r="O1089" s="15"/>
      <c r="P1089" s="6">
        <v>42234.441504629634</v>
      </c>
      <c r="Q1089" s="16" t="s">
        <v>5618</v>
      </c>
      <c r="R1089" s="17" t="s">
        <v>5619</v>
      </c>
      <c r="S1089" s="12"/>
      <c r="T1089" s="12"/>
      <c r="U1089" s="10" t="str">
        <f>HYPERLINK("https://pbs.twimg.com/profile_images/1033029671150133248/wp8Jqi1F.jpg","View")</f>
        <v>View</v>
      </c>
    </row>
    <row r="1090" spans="1:21" ht="20.399999999999999">
      <c r="A1090" s="6">
        <v>43425.76152777778</v>
      </c>
      <c r="B1090" s="7" t="str">
        <f>HYPERLINK("https://twitter.com/Ygritte_Snow","@Ygritte_Snow")</f>
        <v>@Ygritte_Snow</v>
      </c>
      <c r="C1090" s="8" t="s">
        <v>5620</v>
      </c>
      <c r="D1090" s="9" t="s">
        <v>5621</v>
      </c>
      <c r="E1090" s="10" t="str">
        <f>HYPERLINK("https://twitter.com/Ygritte_Snow/status/1065292910491516928","1065292910491516928")</f>
        <v>1065292910491516928</v>
      </c>
      <c r="F1090" s="12"/>
      <c r="G1090" s="12"/>
      <c r="H1090" s="12"/>
      <c r="I1090" s="13">
        <v>1</v>
      </c>
      <c r="J1090" s="13">
        <v>9</v>
      </c>
      <c r="K1090" s="14" t="str">
        <f t="shared" ref="K1090:K1091" si="229">HYPERLINK("http://twitter.com","Twitter Web Client")</f>
        <v>Twitter Web Client</v>
      </c>
      <c r="L1090" s="13">
        <v>3979</v>
      </c>
      <c r="M1090" s="13">
        <v>270</v>
      </c>
      <c r="N1090" s="13">
        <v>107</v>
      </c>
      <c r="O1090" s="15"/>
      <c r="P1090" s="6">
        <v>41435.993090277778</v>
      </c>
      <c r="Q1090" s="16" t="s">
        <v>5624</v>
      </c>
      <c r="R1090" s="17" t="s">
        <v>5625</v>
      </c>
      <c r="S1090" s="11" t="s">
        <v>5626</v>
      </c>
      <c r="T1090" s="12"/>
      <c r="U1090" s="10" t="str">
        <f>HYPERLINK("https://pbs.twimg.com/profile_images/880002569283657728/-Txnczun.jpg","View")</f>
        <v>View</v>
      </c>
    </row>
    <row r="1091" spans="1:21" ht="102">
      <c r="A1091" s="6">
        <v>43425.761377314819</v>
      </c>
      <c r="B1091" s="7" t="str">
        <f>HYPERLINK("https://twitter.com/carova48","@carova48")</f>
        <v>@carova48</v>
      </c>
      <c r="C1091" s="8" t="s">
        <v>2767</v>
      </c>
      <c r="D1091" s="9" t="s">
        <v>2768</v>
      </c>
      <c r="E1091" s="10" t="str">
        <f>HYPERLINK("https://twitter.com/carova48/status/1065292855416168453","1065292855416168453")</f>
        <v>1065292855416168453</v>
      </c>
      <c r="F1091" s="11" t="s">
        <v>2769</v>
      </c>
      <c r="G1091" s="11" t="s">
        <v>2770</v>
      </c>
      <c r="H1091" s="12"/>
      <c r="I1091" s="13">
        <v>0</v>
      </c>
      <c r="J1091" s="13">
        <v>0</v>
      </c>
      <c r="K1091" s="14" t="str">
        <f t="shared" si="229"/>
        <v>Twitter Web Client</v>
      </c>
      <c r="L1091" s="13">
        <v>169</v>
      </c>
      <c r="M1091" s="13">
        <v>232</v>
      </c>
      <c r="N1091" s="13">
        <v>0</v>
      </c>
      <c r="O1091" s="15"/>
      <c r="P1091" s="6">
        <v>40860.866145833337</v>
      </c>
      <c r="Q1091" s="16" t="s">
        <v>2771</v>
      </c>
      <c r="R1091" s="19"/>
      <c r="S1091" s="12"/>
      <c r="T1091" s="12"/>
      <c r="U1091" s="10" t="str">
        <f>HYPERLINK("https://pbs.twimg.com/profile_images/1018566663220944900/TLj1sshS.jpg","View")</f>
        <v>View</v>
      </c>
    </row>
    <row r="1092" spans="1:21" ht="30.6">
      <c r="A1092" s="6">
        <v>43425.760416666672</v>
      </c>
      <c r="B1092" s="7" t="str">
        <f>HYPERLINK("https://twitter.com/A3Noticias","@A3Noticias")</f>
        <v>@A3Noticias</v>
      </c>
      <c r="C1092" s="8" t="s">
        <v>5632</v>
      </c>
      <c r="D1092" s="9" t="s">
        <v>5633</v>
      </c>
      <c r="E1092" s="10" t="str">
        <f>HYPERLINK("https://twitter.com/A3Noticias/status/1065292505648955392","1065292505648955392")</f>
        <v>1065292505648955392</v>
      </c>
      <c r="F1092" s="11" t="s">
        <v>5634</v>
      </c>
      <c r="G1092" s="12"/>
      <c r="H1092" s="12"/>
      <c r="I1092" s="13">
        <v>25</v>
      </c>
      <c r="J1092" s="13">
        <v>36</v>
      </c>
      <c r="K1092" s="14" t="str">
        <f>HYPERLINK("http://dogtrack.es","DogTrack_Oficial")</f>
        <v>DogTrack_Oficial</v>
      </c>
      <c r="L1092" s="13">
        <v>1720487</v>
      </c>
      <c r="M1092" s="13">
        <v>406</v>
      </c>
      <c r="N1092" s="13">
        <v>8132</v>
      </c>
      <c r="O1092" s="18" t="s">
        <v>36</v>
      </c>
      <c r="P1092" s="6">
        <v>40318.523495370369</v>
      </c>
      <c r="Q1092" s="12"/>
      <c r="R1092" s="17" t="s">
        <v>5635</v>
      </c>
      <c r="S1092" s="11" t="s">
        <v>5636</v>
      </c>
      <c r="T1092" s="12"/>
      <c r="U1092" s="10" t="str">
        <f>HYPERLINK("https://pbs.twimg.com/profile_images/1047424467411107840/znEO0bjJ.jpg","View")</f>
        <v>View</v>
      </c>
    </row>
    <row r="1093" spans="1:21" ht="40.799999999999997">
      <c r="A1093" s="6">
        <v>43425.758854166663</v>
      </c>
      <c r="B1093" s="7" t="str">
        <f>HYPERLINK("https://twitter.com/1961Lozano","@1961Lozano")</f>
        <v>@1961Lozano</v>
      </c>
      <c r="C1093" s="8" t="s">
        <v>5638</v>
      </c>
      <c r="D1093" s="9" t="s">
        <v>5639</v>
      </c>
      <c r="E1093" s="10" t="str">
        <f>HYPERLINK("https://twitter.com/1961Lozano/status/1065291942211276800","1065291942211276800")</f>
        <v>1065291942211276800</v>
      </c>
      <c r="F1093" s="12"/>
      <c r="G1093" s="12"/>
      <c r="H1093" s="12"/>
      <c r="I1093" s="13">
        <v>0</v>
      </c>
      <c r="J1093" s="13">
        <v>0</v>
      </c>
      <c r="K1093" s="14" t="str">
        <f>HYPERLINK("http://twitter.com","Twitter Web Client")</f>
        <v>Twitter Web Client</v>
      </c>
      <c r="L1093" s="13">
        <v>411</v>
      </c>
      <c r="M1093" s="13">
        <v>1653</v>
      </c>
      <c r="N1093" s="13">
        <v>6</v>
      </c>
      <c r="O1093" s="15"/>
      <c r="P1093" s="6">
        <v>40828.715578703705</v>
      </c>
      <c r="Q1093" s="16" t="s">
        <v>5640</v>
      </c>
      <c r="R1093" s="17" t="s">
        <v>5641</v>
      </c>
      <c r="S1093" s="12"/>
      <c r="T1093" s="12"/>
      <c r="U1093" s="10" t="str">
        <f>HYPERLINK("https://pbs.twimg.com/profile_images/583907922230534144/-6xaeE5T.png","View")</f>
        <v>View</v>
      </c>
    </row>
    <row r="1094" spans="1:21" ht="40.799999999999997">
      <c r="A1094" s="6">
        <v>43425.758831018524</v>
      </c>
      <c r="B1094" s="7" t="str">
        <f>HYPERLINK("https://twitter.com/Teresaperezcep1","@Teresaperezcep1")</f>
        <v>@Teresaperezcep1</v>
      </c>
      <c r="C1094" s="8" t="s">
        <v>5644</v>
      </c>
      <c r="D1094" s="9" t="s">
        <v>5645</v>
      </c>
      <c r="E1094" s="10" t="str">
        <f>HYPERLINK("https://twitter.com/Teresaperezcep1/status/1065291931020873731","1065291931020873731")</f>
        <v>1065291931020873731</v>
      </c>
      <c r="F1094" s="12"/>
      <c r="G1094" s="12"/>
      <c r="H1094" s="12"/>
      <c r="I1094" s="13">
        <v>17</v>
      </c>
      <c r="J1094" s="13">
        <v>17</v>
      </c>
      <c r="K1094" s="14" t="str">
        <f>HYPERLINK("http://twitter.com/download/android","Twitter for Android")</f>
        <v>Twitter for Android</v>
      </c>
      <c r="L1094" s="13">
        <v>1324</v>
      </c>
      <c r="M1094" s="13">
        <v>1605</v>
      </c>
      <c r="N1094" s="13">
        <v>5</v>
      </c>
      <c r="O1094" s="15"/>
      <c r="P1094" s="6">
        <v>42554.083391203705</v>
      </c>
      <c r="Q1094" s="16" t="s">
        <v>5648</v>
      </c>
      <c r="R1094" s="19"/>
      <c r="S1094" s="12"/>
      <c r="T1094" s="12"/>
      <c r="U1094" s="18" t="s">
        <v>559</v>
      </c>
    </row>
    <row r="1095" spans="1:21" ht="40.799999999999997">
      <c r="A1095" s="6">
        <v>43425.754305555558</v>
      </c>
      <c r="B1095" s="7" t="str">
        <f>HYPERLINK("https://twitter.com/Simbaad387","@Simbaad387")</f>
        <v>@Simbaad387</v>
      </c>
      <c r="C1095" s="8" t="s">
        <v>2777</v>
      </c>
      <c r="D1095" s="9" t="s">
        <v>2778</v>
      </c>
      <c r="E1095" s="10" t="str">
        <f>HYPERLINK("https://twitter.com/Simbaad387/status/1065290292226600961","1065290292226600961")</f>
        <v>1065290292226600961</v>
      </c>
      <c r="F1095" s="11" t="s">
        <v>2779</v>
      </c>
      <c r="G1095" s="11" t="s">
        <v>2780</v>
      </c>
      <c r="H1095" s="12"/>
      <c r="I1095" s="13">
        <v>1</v>
      </c>
      <c r="J1095" s="13">
        <v>1</v>
      </c>
      <c r="K1095" s="14" t="str">
        <f>HYPERLINK("http://twitter.com/#!/download/ipad","Twitter for iPad")</f>
        <v>Twitter for iPad</v>
      </c>
      <c r="L1095" s="13">
        <v>29</v>
      </c>
      <c r="M1095" s="13">
        <v>87</v>
      </c>
      <c r="N1095" s="13">
        <v>0</v>
      </c>
      <c r="O1095" s="15"/>
      <c r="P1095" s="6">
        <v>43336.163206018522</v>
      </c>
      <c r="Q1095" s="12"/>
      <c r="R1095" s="17" t="s">
        <v>2781</v>
      </c>
      <c r="S1095" s="12"/>
      <c r="T1095" s="12"/>
      <c r="U1095" s="10" t="str">
        <f>HYPERLINK("https://pbs.twimg.com/profile_images/1032893294232125440/xGVzpt0C.jpg","View")</f>
        <v>View</v>
      </c>
    </row>
    <row r="1096" spans="1:21" ht="40.799999999999997">
      <c r="A1096" s="6">
        <v>43425.753541666665</v>
      </c>
      <c r="B1096" s="7" t="str">
        <f>HYPERLINK("https://twitter.com/laquintacolumna","@laquintacolumna")</f>
        <v>@laquintacolumna</v>
      </c>
      <c r="C1096" s="8" t="s">
        <v>5654</v>
      </c>
      <c r="D1096" s="9" t="s">
        <v>5655</v>
      </c>
      <c r="E1096" s="10" t="str">
        <f>HYPERLINK("https://twitter.com/laquintacolumna/status/1065290015922622465","1065290015922622465")</f>
        <v>1065290015922622465</v>
      </c>
      <c r="F1096" s="12"/>
      <c r="G1096" s="12"/>
      <c r="H1096" s="12"/>
      <c r="I1096" s="13">
        <v>17</v>
      </c>
      <c r="J1096" s="13">
        <v>28</v>
      </c>
      <c r="K1096" s="14" t="str">
        <f>HYPERLINK("http://twitter.com/download/android","Twitter for Android")</f>
        <v>Twitter for Android</v>
      </c>
      <c r="L1096" s="13">
        <v>41559</v>
      </c>
      <c r="M1096" s="13">
        <v>145</v>
      </c>
      <c r="N1096" s="13">
        <v>1277</v>
      </c>
      <c r="O1096" s="15"/>
      <c r="P1096" s="6">
        <v>39568.465937499997</v>
      </c>
      <c r="Q1096" s="16" t="s">
        <v>3129</v>
      </c>
      <c r="R1096" s="17" t="s">
        <v>5658</v>
      </c>
      <c r="S1096" s="12"/>
      <c r="T1096" s="12"/>
      <c r="U1096" s="10" t="str">
        <f>HYPERLINK("https://pbs.twimg.com/profile_images/1058117934525149184/yaVFD3Ng.jpg","View")</f>
        <v>View</v>
      </c>
    </row>
    <row r="1097" spans="1:21" ht="30.6">
      <c r="A1097" s="6">
        <v>43425.751388888893</v>
      </c>
      <c r="B1097" s="7" t="str">
        <f>HYPERLINK("https://twitter.com/publico_es","@publico_es")</f>
        <v>@publico_es</v>
      </c>
      <c r="C1097" s="8" t="s">
        <v>2597</v>
      </c>
      <c r="D1097" s="9" t="s">
        <v>5661</v>
      </c>
      <c r="E1097" s="10" t="str">
        <f>HYPERLINK("https://twitter.com/publico_es/status/1065289235043803136","1065289235043803136")</f>
        <v>1065289235043803136</v>
      </c>
      <c r="F1097" s="11" t="s">
        <v>2078</v>
      </c>
      <c r="G1097" s="12"/>
      <c r="H1097" s="12"/>
      <c r="I1097" s="13">
        <v>16</v>
      </c>
      <c r="J1097" s="13">
        <v>18</v>
      </c>
      <c r="K1097" s="14" t="str">
        <f>HYPERLINK("https://about.twitter.com/products/tweetdeck","TweetDeck")</f>
        <v>TweetDeck</v>
      </c>
      <c r="L1097" s="13">
        <v>911012</v>
      </c>
      <c r="M1097" s="13">
        <v>1455</v>
      </c>
      <c r="N1097" s="13">
        <v>14825</v>
      </c>
      <c r="O1097" s="18" t="s">
        <v>36</v>
      </c>
      <c r="P1097" s="6">
        <v>39779.559525462959</v>
      </c>
      <c r="Q1097" s="16" t="s">
        <v>440</v>
      </c>
      <c r="R1097" s="17" t="s">
        <v>2602</v>
      </c>
      <c r="S1097" s="11" t="s">
        <v>2603</v>
      </c>
      <c r="T1097" s="12"/>
      <c r="U1097" s="10" t="str">
        <f>HYPERLINK("https://pbs.twimg.com/profile_images/1048242435682422786/FdzZWHU8.jpg","View")</f>
        <v>View</v>
      </c>
    </row>
    <row r="1098" spans="1:21" ht="51">
      <c r="A1098" s="6">
        <v>43425.751388888893</v>
      </c>
      <c r="B1098" s="7" t="str">
        <f t="shared" ref="B1098:B1099" si="230">HYPERLINK("https://twitter.com/bitMomentum","@bitMomentum")</f>
        <v>@bitMomentum</v>
      </c>
      <c r="C1098" s="8" t="s">
        <v>706</v>
      </c>
      <c r="D1098" s="9" t="s">
        <v>2783</v>
      </c>
      <c r="E1098" s="10" t="str">
        <f>HYPERLINK("https://twitter.com/bitMomentum/status/1065289234066616336","1065289234066616336")</f>
        <v>1065289234066616336</v>
      </c>
      <c r="F1098" s="12"/>
      <c r="G1098" s="12"/>
      <c r="H1098" s="12"/>
      <c r="I1098" s="13">
        <v>0</v>
      </c>
      <c r="J1098" s="13">
        <v>0</v>
      </c>
      <c r="K1098" s="14" t="str">
        <f t="shared" ref="K1098:K1099" si="231">HYPERLINK("http://www.bitmomentum.com","bitMomentum Bot")</f>
        <v>bitMomentum Bot</v>
      </c>
      <c r="L1098" s="13">
        <v>10132</v>
      </c>
      <c r="M1098" s="13">
        <v>1060</v>
      </c>
      <c r="N1098" s="13">
        <v>262</v>
      </c>
      <c r="O1098" s="15"/>
      <c r="P1098" s="6">
        <v>41608.667511574073</v>
      </c>
      <c r="Q1098" s="12"/>
      <c r="R1098" s="17" t="s">
        <v>708</v>
      </c>
      <c r="S1098" s="11" t="s">
        <v>709</v>
      </c>
      <c r="T1098" s="12"/>
      <c r="U1098" s="10" t="str">
        <f t="shared" ref="U1098:U1099" si="232">HYPERLINK("https://pbs.twimg.com/profile_images/378800000862185241/20ij2H3u.png","View")</f>
        <v>View</v>
      </c>
    </row>
    <row r="1099" spans="1:21" ht="40.799999999999997">
      <c r="A1099" s="6">
        <v>43425.750694444447</v>
      </c>
      <c r="B1099" s="7" t="str">
        <f t="shared" si="230"/>
        <v>@bitMomentum</v>
      </c>
      <c r="C1099" s="8" t="s">
        <v>706</v>
      </c>
      <c r="D1099" s="9" t="s">
        <v>2785</v>
      </c>
      <c r="E1099" s="10" t="str">
        <f>HYPERLINK("https://twitter.com/bitMomentum/status/1065288982324490240","1065288982324490240")</f>
        <v>1065288982324490240</v>
      </c>
      <c r="F1099" s="12"/>
      <c r="G1099" s="12"/>
      <c r="H1099" s="12"/>
      <c r="I1099" s="13">
        <v>0</v>
      </c>
      <c r="J1099" s="13">
        <v>0</v>
      </c>
      <c r="K1099" s="14" t="str">
        <f t="shared" si="231"/>
        <v>bitMomentum Bot</v>
      </c>
      <c r="L1099" s="13">
        <v>10132</v>
      </c>
      <c r="M1099" s="13">
        <v>1060</v>
      </c>
      <c r="N1099" s="13">
        <v>262</v>
      </c>
      <c r="O1099" s="15"/>
      <c r="P1099" s="6">
        <v>41608.667511574073</v>
      </c>
      <c r="Q1099" s="12"/>
      <c r="R1099" s="17" t="s">
        <v>708</v>
      </c>
      <c r="S1099" s="11" t="s">
        <v>709</v>
      </c>
      <c r="T1099" s="12"/>
      <c r="U1099" s="10" t="str">
        <f t="shared" si="232"/>
        <v>View</v>
      </c>
    </row>
    <row r="1100" spans="1:21" ht="30.6">
      <c r="A1100" s="6">
        <v>43425.75</v>
      </c>
      <c r="B1100" s="7" t="str">
        <f>HYPERLINK("https://twitter.com/CsLaRioja","@CsLaRioja")</f>
        <v>@CsLaRioja</v>
      </c>
      <c r="C1100" s="8" t="s">
        <v>1000</v>
      </c>
      <c r="D1100" s="9" t="s">
        <v>2786</v>
      </c>
      <c r="E1100" s="10" t="str">
        <f>HYPERLINK("https://twitter.com/CsLaRioja/status/1065288732645806081","1065288732645806081")</f>
        <v>1065288732645806081</v>
      </c>
      <c r="F1100" s="11" t="s">
        <v>2787</v>
      </c>
      <c r="G1100" s="11" t="s">
        <v>2788</v>
      </c>
      <c r="H1100" s="12"/>
      <c r="I1100" s="13">
        <v>2</v>
      </c>
      <c r="J1100" s="13">
        <v>2</v>
      </c>
      <c r="K1100" s="14" t="str">
        <f>HYPERLINK("https://about.twitter.com/products/tweetdeck","TweetDeck")</f>
        <v>TweetDeck</v>
      </c>
      <c r="L1100" s="13">
        <v>4219</v>
      </c>
      <c r="M1100" s="13">
        <v>1618</v>
      </c>
      <c r="N1100" s="13">
        <v>83</v>
      </c>
      <c r="O1100" s="18" t="s">
        <v>36</v>
      </c>
      <c r="P1100" s="6">
        <v>41950.884421296294</v>
      </c>
      <c r="Q1100" s="16" t="s">
        <v>1007</v>
      </c>
      <c r="R1100" s="17" t="s">
        <v>1008</v>
      </c>
      <c r="S1100" s="11" t="s">
        <v>1009</v>
      </c>
      <c r="T1100" s="12"/>
      <c r="U1100" s="10" t="str">
        <f>HYPERLINK("https://pbs.twimg.com/profile_images/1053530865739988993/qxMztW6q.jpg","View")</f>
        <v>View</v>
      </c>
    </row>
    <row r="1101" spans="1:21" ht="51">
      <c r="A1101" s="6">
        <v>43425.74962962963</v>
      </c>
      <c r="B1101" s="7" t="str">
        <f>HYPERLINK("https://twitter.com/jaimevaquin","@jaimevaquin")</f>
        <v>@jaimevaquin</v>
      </c>
      <c r="C1101" s="8" t="s">
        <v>2789</v>
      </c>
      <c r="D1101" s="9" t="s">
        <v>2790</v>
      </c>
      <c r="E1101" s="10" t="str">
        <f>HYPERLINK("https://twitter.com/jaimevaquin/status/1065288598520504320","1065288598520504320")</f>
        <v>1065288598520504320</v>
      </c>
      <c r="F1101" s="12"/>
      <c r="G1101" s="12"/>
      <c r="H1101" s="12"/>
      <c r="I1101" s="13">
        <v>0</v>
      </c>
      <c r="J1101" s="13">
        <v>2</v>
      </c>
      <c r="K1101" s="14" t="str">
        <f>HYPERLINK("http://twitter.com/download/iphone","Twitter for iPhone")</f>
        <v>Twitter for iPhone</v>
      </c>
      <c r="L1101" s="13">
        <v>2334</v>
      </c>
      <c r="M1101" s="13">
        <v>447</v>
      </c>
      <c r="N1101" s="13">
        <v>45</v>
      </c>
      <c r="O1101" s="15"/>
      <c r="P1101" s="6">
        <v>39921.847708333335</v>
      </c>
      <c r="Q1101" s="12"/>
      <c r="R1101" s="17" t="s">
        <v>2791</v>
      </c>
      <c r="S1101" s="11" t="s">
        <v>2792</v>
      </c>
      <c r="T1101" s="12"/>
      <c r="U1101" s="10" t="str">
        <f>HYPERLINK("https://pbs.twimg.com/profile_images/1056299373821390850/8EhUP-Fh.jpg","View")</f>
        <v>View</v>
      </c>
    </row>
    <row r="1102" spans="1:21" ht="30.6">
      <c r="A1102" s="6">
        <v>43425.749328703707</v>
      </c>
      <c r="B1102" s="7" t="str">
        <f>HYPERLINK("https://twitter.com/CarolinaSim","@CarolinaSim")</f>
        <v>@CarolinaSim</v>
      </c>
      <c r="C1102" s="8" t="s">
        <v>5680</v>
      </c>
      <c r="D1102" s="9" t="s">
        <v>5682</v>
      </c>
      <c r="E1102" s="10" t="str">
        <f>HYPERLINK("https://twitter.com/CarolinaSim/status/1065288489229537280","1065288489229537280")</f>
        <v>1065288489229537280</v>
      </c>
      <c r="F1102" s="12"/>
      <c r="G1102" s="12"/>
      <c r="H1102" s="12"/>
      <c r="I1102" s="13">
        <v>0</v>
      </c>
      <c r="J1102" s="13">
        <v>0</v>
      </c>
      <c r="K1102" s="14" t="str">
        <f>HYPERLINK("http://twitter.com/download/android","Twitter for Android")</f>
        <v>Twitter for Android</v>
      </c>
      <c r="L1102" s="13">
        <v>313</v>
      </c>
      <c r="M1102" s="13">
        <v>141</v>
      </c>
      <c r="N1102" s="13">
        <v>7</v>
      </c>
      <c r="O1102" s="15"/>
      <c r="P1102" s="6">
        <v>40741.790138888886</v>
      </c>
      <c r="Q1102" s="12"/>
      <c r="R1102" s="17" t="s">
        <v>5684</v>
      </c>
      <c r="S1102" s="12"/>
      <c r="T1102" s="12"/>
      <c r="U1102" s="10" t="str">
        <f>HYPERLINK("https://pbs.twimg.com/profile_images/1027552526470656000/IDMhdr2T.jpg","View")</f>
        <v>View</v>
      </c>
    </row>
    <row r="1103" spans="1:21" ht="112.2">
      <c r="A1103" s="6">
        <v>43425.74622685185</v>
      </c>
      <c r="B1103" s="7" t="str">
        <f>HYPERLINK("https://twitter.com/AJV_VAL","@AJV_VAL")</f>
        <v>@AJV_VAL</v>
      </c>
      <c r="C1103" s="8" t="s">
        <v>2795</v>
      </c>
      <c r="D1103" s="9" t="s">
        <v>2796</v>
      </c>
      <c r="E1103" s="10" t="str">
        <f>HYPERLINK("https://twitter.com/AJV_VAL/status/1065287364971511810","1065287364971511810")</f>
        <v>1065287364971511810</v>
      </c>
      <c r="F1103" s="11" t="s">
        <v>2797</v>
      </c>
      <c r="G1103" s="11" t="s">
        <v>2798</v>
      </c>
      <c r="H1103" s="12"/>
      <c r="I1103" s="13">
        <v>14</v>
      </c>
      <c r="J1103" s="13">
        <v>15</v>
      </c>
      <c r="K1103" s="14" t="str">
        <f>HYPERLINK("https://mobile.twitter.com","Twitter Lite")</f>
        <v>Twitter Lite</v>
      </c>
      <c r="L1103" s="13">
        <v>1294</v>
      </c>
      <c r="M1103" s="13">
        <v>1770</v>
      </c>
      <c r="N1103" s="13">
        <v>17</v>
      </c>
      <c r="O1103" s="15"/>
      <c r="P1103" s="6">
        <v>41739.954155092593</v>
      </c>
      <c r="Q1103" s="16" t="s">
        <v>2799</v>
      </c>
      <c r="R1103" s="17" t="s">
        <v>2801</v>
      </c>
      <c r="S1103" s="11" t="s">
        <v>2803</v>
      </c>
      <c r="T1103" s="12"/>
      <c r="U1103" s="10" t="str">
        <f>HYPERLINK("https://pbs.twimg.com/profile_images/454364390783852544/QJMPUWB0.jpeg","View")</f>
        <v>View</v>
      </c>
    </row>
    <row r="1104" spans="1:21" ht="30.6">
      <c r="A1104" s="6">
        <v>43425.745879629627</v>
      </c>
      <c r="B1104" s="7" t="str">
        <f>HYPERLINK("https://twitter.com/Marhuendeer","@Marhuendeer")</f>
        <v>@Marhuendeer</v>
      </c>
      <c r="C1104" s="8" t="s">
        <v>5687</v>
      </c>
      <c r="D1104" s="9" t="s">
        <v>5688</v>
      </c>
      <c r="E1104" s="10" t="str">
        <f>HYPERLINK("https://twitter.com/Marhuendeer/status/1065287237070462976","1065287237070462976")</f>
        <v>1065287237070462976</v>
      </c>
      <c r="F1104" s="12"/>
      <c r="G1104" s="11" t="s">
        <v>5690</v>
      </c>
      <c r="H1104" s="12"/>
      <c r="I1104" s="13">
        <v>1</v>
      </c>
      <c r="J1104" s="13">
        <v>0</v>
      </c>
      <c r="K1104" s="14" t="str">
        <f>HYPERLINK("http://twitter.com/download/android","Twitter for Android")</f>
        <v>Twitter for Android</v>
      </c>
      <c r="L1104" s="13">
        <v>3801</v>
      </c>
      <c r="M1104" s="13">
        <v>485</v>
      </c>
      <c r="N1104" s="13">
        <v>30</v>
      </c>
      <c r="O1104" s="15"/>
      <c r="P1104" s="6">
        <v>42107.028182870374</v>
      </c>
      <c r="Q1104" s="12"/>
      <c r="R1104" s="17" t="s">
        <v>5691</v>
      </c>
      <c r="S1104" s="12"/>
      <c r="T1104" s="12"/>
      <c r="U1104" s="10" t="str">
        <f>HYPERLINK("https://pbs.twimg.com/profile_images/587385205230546944/JujAxUZK.jpg","View")</f>
        <v>View</v>
      </c>
    </row>
    <row r="1105" spans="1:21" ht="91.8">
      <c r="A1105" s="6">
        <v>43425.745138888888</v>
      </c>
      <c r="B1105" s="7" t="str">
        <f>HYPERLINK("https://twitter.com/yossibarzilai","@yossibarzilai")</f>
        <v>@yossibarzilai</v>
      </c>
      <c r="C1105" s="8" t="s">
        <v>2804</v>
      </c>
      <c r="D1105" s="9" t="s">
        <v>2805</v>
      </c>
      <c r="E1105" s="10" t="str">
        <f>HYPERLINK("https://twitter.com/yossibarzilai/status/1065286971545853953","1065286971545853953")</f>
        <v>1065286971545853953</v>
      </c>
      <c r="F1105" s="16" t="s">
        <v>2148</v>
      </c>
      <c r="G1105" s="12"/>
      <c r="H1105" s="12"/>
      <c r="I1105" s="13">
        <v>1</v>
      </c>
      <c r="J1105" s="13">
        <v>3</v>
      </c>
      <c r="K1105" s="14" t="str">
        <f>HYPERLINK("http://twitter.com/download/iphone","Twitter for iPhone")</f>
        <v>Twitter for iPhone</v>
      </c>
      <c r="L1105" s="13">
        <v>588</v>
      </c>
      <c r="M1105" s="13">
        <v>400</v>
      </c>
      <c r="N1105" s="13">
        <v>23</v>
      </c>
      <c r="O1105" s="15"/>
      <c r="P1105" s="6">
        <v>40054.204606481479</v>
      </c>
      <c r="Q1105" s="16" t="s">
        <v>2806</v>
      </c>
      <c r="R1105" s="17" t="s">
        <v>2807</v>
      </c>
      <c r="S1105" s="11" t="s">
        <v>2808</v>
      </c>
      <c r="T1105" s="12"/>
      <c r="U1105" s="10" t="str">
        <f>HYPERLINK("https://pbs.twimg.com/profile_images/931079245035696128/9S_-yG_h.jpg","View")</f>
        <v>View</v>
      </c>
    </row>
    <row r="1106" spans="1:21" ht="112.2">
      <c r="A1106" s="6">
        <v>43425.743993055556</v>
      </c>
      <c r="B1106" s="7" t="str">
        <f>HYPERLINK("https://twitter.com/AriieSiiS","@AriieSiiS")</f>
        <v>@AriieSiiS</v>
      </c>
      <c r="C1106" s="8" t="s">
        <v>5696</v>
      </c>
      <c r="D1106" s="9" t="s">
        <v>5697</v>
      </c>
      <c r="E1106" s="10" t="str">
        <f>HYPERLINK("https://twitter.com/AriieSiiS/status/1065286554803990528","1065286554803990528")</f>
        <v>1065286554803990528</v>
      </c>
      <c r="F1106" s="11" t="s">
        <v>5700</v>
      </c>
      <c r="G1106" s="12"/>
      <c r="H1106" s="12"/>
      <c r="I1106" s="13">
        <v>0</v>
      </c>
      <c r="J1106" s="13">
        <v>0</v>
      </c>
      <c r="K1106" s="14" t="str">
        <f>HYPERLINK("http://twitter.com","Twitter Web Client")</f>
        <v>Twitter Web Client</v>
      </c>
      <c r="L1106" s="13">
        <v>228</v>
      </c>
      <c r="M1106" s="13">
        <v>121</v>
      </c>
      <c r="N1106" s="13">
        <v>6</v>
      </c>
      <c r="O1106" s="15"/>
      <c r="P1106" s="6">
        <v>41089.813425925924</v>
      </c>
      <c r="Q1106" s="16" t="s">
        <v>5702</v>
      </c>
      <c r="R1106" s="17" t="s">
        <v>5704</v>
      </c>
      <c r="S1106" s="12"/>
      <c r="T1106" s="12"/>
      <c r="U1106" s="10" t="str">
        <f>HYPERLINK("https://pbs.twimg.com/profile_images/1026767633813782528/hVyaeuYH.jpg","View")</f>
        <v>View</v>
      </c>
    </row>
    <row r="1107" spans="1:21" ht="30.6">
      <c r="A1107" s="6">
        <v>43425.743402777778</v>
      </c>
      <c r="B1107" s="7" t="str">
        <f>HYPERLINK("https://twitter.com/alfposada","@alfposada")</f>
        <v>@alfposada</v>
      </c>
      <c r="C1107" s="8" t="s">
        <v>5705</v>
      </c>
      <c r="D1107" s="9" t="s">
        <v>5706</v>
      </c>
      <c r="E1107" s="10" t="str">
        <f>HYPERLINK("https://twitter.com/alfposada/status/1065286339518758912","1065286339518758912")</f>
        <v>1065286339518758912</v>
      </c>
      <c r="F1107" s="11" t="s">
        <v>5708</v>
      </c>
      <c r="G1107" s="12"/>
      <c r="H1107" s="12"/>
      <c r="I1107" s="13">
        <v>0</v>
      </c>
      <c r="J1107" s="13">
        <v>0</v>
      </c>
      <c r="K1107" s="14" t="str">
        <f>HYPERLINK("https://www.google.com/","Google")</f>
        <v>Google</v>
      </c>
      <c r="L1107" s="13">
        <v>1057</v>
      </c>
      <c r="M1107" s="13">
        <v>2158</v>
      </c>
      <c r="N1107" s="13">
        <v>16</v>
      </c>
      <c r="O1107" s="15"/>
      <c r="P1107" s="6">
        <v>39985.990960648152</v>
      </c>
      <c r="Q1107" s="16" t="s">
        <v>5710</v>
      </c>
      <c r="R1107" s="17" t="s">
        <v>5711</v>
      </c>
      <c r="S1107" s="11" t="s">
        <v>5712</v>
      </c>
      <c r="T1107" s="12"/>
      <c r="U1107" s="10" t="str">
        <f>HYPERLINK("https://pbs.twimg.com/profile_images/839081986257993728/2yYYa_fY.jpg","View")</f>
        <v>View</v>
      </c>
    </row>
    <row r="1108" spans="1:21" ht="40.799999999999997">
      <c r="A1108" s="6">
        <v>43425.743032407408</v>
      </c>
      <c r="B1108" s="7" t="str">
        <f>HYPERLINK("https://twitter.com/SpaceChick_","@SpaceChick_")</f>
        <v>@SpaceChick_</v>
      </c>
      <c r="C1108" s="8" t="s">
        <v>5714</v>
      </c>
      <c r="D1108" s="9" t="s">
        <v>5715</v>
      </c>
      <c r="E1108" s="10" t="str">
        <f>HYPERLINK("https://twitter.com/SpaceChick_/status/1065286205183528960","1065286205183528960")</f>
        <v>1065286205183528960</v>
      </c>
      <c r="F1108" s="16" t="s">
        <v>2570</v>
      </c>
      <c r="G1108" s="11" t="s">
        <v>2571</v>
      </c>
      <c r="H1108" s="12"/>
      <c r="I1108" s="13">
        <v>2</v>
      </c>
      <c r="J1108" s="13">
        <v>1</v>
      </c>
      <c r="K1108" s="14" t="str">
        <f>HYPERLINK("http://twitter.com","Twitter Web Client")</f>
        <v>Twitter Web Client</v>
      </c>
      <c r="L1108" s="13">
        <v>306</v>
      </c>
      <c r="M1108" s="13">
        <v>1077</v>
      </c>
      <c r="N1108" s="13">
        <v>3</v>
      </c>
      <c r="O1108" s="15"/>
      <c r="P1108" s="6">
        <v>41546.464953703704</v>
      </c>
      <c r="Q1108" s="16" t="s">
        <v>37</v>
      </c>
      <c r="R1108" s="17" t="s">
        <v>5717</v>
      </c>
      <c r="S1108" s="11" t="s">
        <v>5718</v>
      </c>
      <c r="T1108" s="12"/>
      <c r="U1108" s="10" t="str">
        <f>HYPERLINK("https://pbs.twimg.com/profile_images/1064446947367497728/H2aypSpF.jpg","View")</f>
        <v>View</v>
      </c>
    </row>
    <row r="1109" spans="1:21" ht="30.6">
      <c r="A1109" s="6">
        <v>43425.742986111116</v>
      </c>
      <c r="B1109" s="7" t="str">
        <f>HYPERLINK("https://twitter.com/jesusdelacruzol","@jesusdelacruzol")</f>
        <v>@jesusdelacruzol</v>
      </c>
      <c r="C1109" s="8" t="s">
        <v>5719</v>
      </c>
      <c r="D1109" s="9" t="s">
        <v>5720</v>
      </c>
      <c r="E1109" s="10" t="str">
        <f>HYPERLINK("https://twitter.com/jesusdelacruzol/status/1065286192223191041","1065286192223191041")</f>
        <v>1065286192223191041</v>
      </c>
      <c r="F1109" s="11" t="s">
        <v>5723</v>
      </c>
      <c r="G1109" s="12"/>
      <c r="H1109" s="12"/>
      <c r="I1109" s="13">
        <v>2</v>
      </c>
      <c r="J1109" s="13">
        <v>1</v>
      </c>
      <c r="K1109" s="14" t="str">
        <f>HYPERLINK("http://www.facebook.com/twitter","Facebook")</f>
        <v>Facebook</v>
      </c>
      <c r="L1109" s="13">
        <v>13800</v>
      </c>
      <c r="M1109" s="13">
        <v>13454</v>
      </c>
      <c r="N1109" s="13">
        <v>144</v>
      </c>
      <c r="O1109" s="15"/>
      <c r="P1109" s="6">
        <v>40536.972824074073</v>
      </c>
      <c r="Q1109" s="16" t="s">
        <v>5725</v>
      </c>
      <c r="R1109" s="17" t="s">
        <v>5726</v>
      </c>
      <c r="S1109" s="11" t="s">
        <v>5727</v>
      </c>
      <c r="T1109" s="12"/>
      <c r="U1109" s="10" t="str">
        <f>HYPERLINK("https://pbs.twimg.com/profile_images/783773267014418433/ngnl4DZI.jpg","View")</f>
        <v>View</v>
      </c>
    </row>
    <row r="1110" spans="1:21" ht="20.399999999999999">
      <c r="A1110" s="6">
        <v>43425.738437499997</v>
      </c>
      <c r="B1110" s="7" t="str">
        <f>HYPERLINK("https://twitter.com/talkesi","@talkesi")</f>
        <v>@talkesi</v>
      </c>
      <c r="C1110" s="8" t="s">
        <v>5729</v>
      </c>
      <c r="D1110" s="9" t="s">
        <v>556</v>
      </c>
      <c r="E1110" s="10" t="str">
        <f>HYPERLINK("https://twitter.com/talkesi/status/1065284543085715456","1065284543085715456")</f>
        <v>1065284543085715456</v>
      </c>
      <c r="F1110" s="11" t="s">
        <v>557</v>
      </c>
      <c r="G1110" s="12"/>
      <c r="H1110" s="12"/>
      <c r="I1110" s="13">
        <v>0</v>
      </c>
      <c r="J1110" s="13">
        <v>0</v>
      </c>
      <c r="K1110" s="14" t="str">
        <f>HYPERLINK("http://twitter.com","Twitter Web Client")</f>
        <v>Twitter Web Client</v>
      </c>
      <c r="L1110" s="13">
        <v>93</v>
      </c>
      <c r="M1110" s="13">
        <v>591</v>
      </c>
      <c r="N1110" s="13">
        <v>3</v>
      </c>
      <c r="O1110" s="15"/>
      <c r="P1110" s="6">
        <v>40883.692187499997</v>
      </c>
      <c r="Q1110" s="12"/>
      <c r="R1110" s="17" t="s">
        <v>5733</v>
      </c>
      <c r="S1110" s="12"/>
      <c r="T1110" s="12"/>
      <c r="U1110" s="10" t="str">
        <f>HYPERLINK("https://pbs.twimg.com/profile_images/1692778440/a.jpg","View")</f>
        <v>View</v>
      </c>
    </row>
    <row r="1111" spans="1:21" ht="30.6">
      <c r="A1111" s="6">
        <v>43425.735752314809</v>
      </c>
      <c r="B1111" s="7" t="str">
        <f>HYPERLINK("https://twitter.com/MARIAJ_SALADO","@MARIAJ_SALADO")</f>
        <v>@MARIAJ_SALADO</v>
      </c>
      <c r="C1111" s="8" t="s">
        <v>5736</v>
      </c>
      <c r="D1111" s="9" t="s">
        <v>5737</v>
      </c>
      <c r="E1111" s="10" t="str">
        <f>HYPERLINK("https://twitter.com/MARIAJ_SALADO/status/1065283568107171840","1065283568107171840")</f>
        <v>1065283568107171840</v>
      </c>
      <c r="F1111" s="11" t="s">
        <v>557</v>
      </c>
      <c r="G1111" s="12"/>
      <c r="H1111" s="12"/>
      <c r="I1111" s="13">
        <v>0</v>
      </c>
      <c r="J1111" s="13">
        <v>0</v>
      </c>
      <c r="K1111" s="14" t="str">
        <f t="shared" ref="K1111:K1112" si="233">HYPERLINK("http://twitter.com/download/android","Twitter for Android")</f>
        <v>Twitter for Android</v>
      </c>
      <c r="L1111" s="13">
        <v>6906</v>
      </c>
      <c r="M1111" s="13">
        <v>3086</v>
      </c>
      <c r="N1111" s="13">
        <v>83</v>
      </c>
      <c r="O1111" s="15"/>
      <c r="P1111" s="6">
        <v>40721.614363425928</v>
      </c>
      <c r="Q1111" s="16" t="s">
        <v>5739</v>
      </c>
      <c r="R1111" s="17" t="s">
        <v>5740</v>
      </c>
      <c r="S1111" s="12"/>
      <c r="T1111" s="12"/>
      <c r="U1111" s="10" t="str">
        <f>HYPERLINK("https://pbs.twimg.com/profile_images/1001117315566637056/7n7Si_YN.jpg","View")</f>
        <v>View</v>
      </c>
    </row>
    <row r="1112" spans="1:21" ht="20.399999999999999">
      <c r="A1112" s="6">
        <v>43425.734942129631</v>
      </c>
      <c r="B1112" s="7" t="str">
        <f>HYPERLINK("https://twitter.com/NieblayHumo","@NieblayHumo")</f>
        <v>@NieblayHumo</v>
      </c>
      <c r="C1112" s="8" t="s">
        <v>5743</v>
      </c>
      <c r="D1112" s="9" t="s">
        <v>5744</v>
      </c>
      <c r="E1112" s="10" t="str">
        <f>HYPERLINK("https://twitter.com/NieblayHumo/status/1065283275269316608","1065283275269316608")</f>
        <v>1065283275269316608</v>
      </c>
      <c r="F1112" s="11" t="s">
        <v>4294</v>
      </c>
      <c r="G1112" s="11" t="s">
        <v>4295</v>
      </c>
      <c r="H1112" s="12"/>
      <c r="I1112" s="13">
        <v>0</v>
      </c>
      <c r="J1112" s="13">
        <v>0</v>
      </c>
      <c r="K1112" s="14" t="str">
        <f t="shared" si="233"/>
        <v>Twitter for Android</v>
      </c>
      <c r="L1112" s="13">
        <v>56</v>
      </c>
      <c r="M1112" s="13">
        <v>163</v>
      </c>
      <c r="N1112" s="13">
        <v>1</v>
      </c>
      <c r="O1112" s="15"/>
      <c r="P1112" s="6">
        <v>43200.603356481486</v>
      </c>
      <c r="Q1112" s="16" t="s">
        <v>37</v>
      </c>
      <c r="R1112" s="17" t="s">
        <v>5747</v>
      </c>
      <c r="S1112" s="12"/>
      <c r="T1112" s="12"/>
      <c r="U1112" s="10" t="str">
        <f>HYPERLINK("https://pbs.twimg.com/profile_images/1020608909281767424/r13c3a_b.jpg","View")</f>
        <v>View</v>
      </c>
    </row>
    <row r="1113" spans="1:21" ht="30.6">
      <c r="A1113" s="6">
        <v>43425.734629629631</v>
      </c>
      <c r="B1113" s="7" t="str">
        <f>HYPERLINK("https://twitter.com/PedroPmotero","@PedroPmotero")</f>
        <v>@PedroPmotero</v>
      </c>
      <c r="C1113" s="8" t="s">
        <v>4939</v>
      </c>
      <c r="D1113" s="9" t="s">
        <v>1697</v>
      </c>
      <c r="E1113" s="10" t="str">
        <f>HYPERLINK("https://twitter.com/PedroPmotero/status/1065283162824220672","1065283162824220672")</f>
        <v>1065283162824220672</v>
      </c>
      <c r="F1113" s="11" t="s">
        <v>1700</v>
      </c>
      <c r="G1113" s="12"/>
      <c r="H1113" s="12"/>
      <c r="I1113" s="13">
        <v>1</v>
      </c>
      <c r="J1113" s="13">
        <v>1</v>
      </c>
      <c r="K1113" s="14" t="str">
        <f>HYPERLINK("http://twitter.com","Twitter Web Client")</f>
        <v>Twitter Web Client</v>
      </c>
      <c r="L1113" s="13">
        <v>15402</v>
      </c>
      <c r="M1113" s="13">
        <v>10702</v>
      </c>
      <c r="N1113" s="13">
        <v>105</v>
      </c>
      <c r="O1113" s="15"/>
      <c r="P1113" s="6">
        <v>40949.399178240739</v>
      </c>
      <c r="Q1113" s="16" t="s">
        <v>4941</v>
      </c>
      <c r="R1113" s="17" t="s">
        <v>4942</v>
      </c>
      <c r="S1113" s="12"/>
      <c r="T1113" s="12"/>
      <c r="U1113" s="10" t="str">
        <f>HYPERLINK("https://pbs.twimg.com/profile_images/1060236053385220096/HHWME8I9.jpg","View")</f>
        <v>View</v>
      </c>
    </row>
    <row r="1114" spans="1:21" ht="40.799999999999997">
      <c r="A1114" s="6">
        <v>43425.734131944446</v>
      </c>
      <c r="B1114" s="7" t="str">
        <f>HYPERLINK("https://twitter.com/JORMI64","@JORMI64")</f>
        <v>@JORMI64</v>
      </c>
      <c r="C1114" s="8" t="s">
        <v>5750</v>
      </c>
      <c r="D1114" s="9" t="s">
        <v>5751</v>
      </c>
      <c r="E1114" s="10" t="str">
        <f>HYPERLINK("https://twitter.com/JORMI64/status/1065282981730926594","1065282981730926594")</f>
        <v>1065282981730926594</v>
      </c>
      <c r="F1114" s="11" t="s">
        <v>5752</v>
      </c>
      <c r="G1114" s="12"/>
      <c r="H1114" s="12"/>
      <c r="I1114" s="13">
        <v>0</v>
      </c>
      <c r="J1114" s="13">
        <v>0</v>
      </c>
      <c r="K1114" s="14" t="str">
        <f>HYPERLINK("http://instagram.com","Instagram")</f>
        <v>Instagram</v>
      </c>
      <c r="L1114" s="13">
        <v>380</v>
      </c>
      <c r="M1114" s="13">
        <v>1524</v>
      </c>
      <c r="N1114" s="13">
        <v>3</v>
      </c>
      <c r="O1114" s="15"/>
      <c r="P1114" s="6">
        <v>43008.940347222218</v>
      </c>
      <c r="Q1114" s="16" t="s">
        <v>5754</v>
      </c>
      <c r="R1114" s="17" t="s">
        <v>5756</v>
      </c>
      <c r="S1114" s="12"/>
      <c r="T1114" s="12"/>
      <c r="U1114" s="10" t="str">
        <f>HYPERLINK("https://pbs.twimg.com/profile_images/1053947295870451712/_cR_iuoJ.jpg","View")</f>
        <v>View</v>
      </c>
    </row>
    <row r="1115" spans="1:21" ht="81.599999999999994">
      <c r="A1115" s="6">
        <v>43425.732766203699</v>
      </c>
      <c r="B1115" s="7" t="str">
        <f>HYPERLINK("https://twitter.com/TaniaCrespo3","@TaniaCrespo3")</f>
        <v>@TaniaCrespo3</v>
      </c>
      <c r="C1115" s="8" t="s">
        <v>492</v>
      </c>
      <c r="D1115" s="9" t="s">
        <v>2811</v>
      </c>
      <c r="E1115" s="10" t="str">
        <f>HYPERLINK("https://twitter.com/TaniaCrespo3/status/1065282488799502336","1065282488799502336")</f>
        <v>1065282488799502336</v>
      </c>
      <c r="F1115" s="16" t="s">
        <v>2812</v>
      </c>
      <c r="G1115" s="12"/>
      <c r="H1115" s="12"/>
      <c r="I1115" s="13">
        <v>10</v>
      </c>
      <c r="J1115" s="13">
        <v>8</v>
      </c>
      <c r="K1115" s="14" t="str">
        <f>HYPERLINK("http://twitter.com/download/android","Twitter for Android")</f>
        <v>Twitter for Android</v>
      </c>
      <c r="L1115" s="13">
        <v>862</v>
      </c>
      <c r="M1115" s="13">
        <v>1624</v>
      </c>
      <c r="N1115" s="13">
        <v>1</v>
      </c>
      <c r="O1115" s="15"/>
      <c r="P1115" s="6">
        <v>43257.829548611116</v>
      </c>
      <c r="Q1115" s="16" t="s">
        <v>499</v>
      </c>
      <c r="R1115" s="17" t="s">
        <v>500</v>
      </c>
      <c r="S1115" s="12"/>
      <c r="T1115" s="12"/>
      <c r="U1115" s="10" t="str">
        <f>HYPERLINK("https://pbs.twimg.com/profile_images/1004426598471340033/zL90kJim.jpg","View")</f>
        <v>View</v>
      </c>
    </row>
    <row r="1116" spans="1:21" ht="40.799999999999997">
      <c r="A1116" s="6">
        <v>43425.73164351852</v>
      </c>
      <c r="B1116" s="7" t="str">
        <f>HYPERLINK("https://twitter.com/Xiscally","@Xiscally")</f>
        <v>@Xiscally</v>
      </c>
      <c r="C1116" s="8" t="s">
        <v>5757</v>
      </c>
      <c r="D1116" s="9" t="s">
        <v>5758</v>
      </c>
      <c r="E1116" s="10" t="str">
        <f>HYPERLINK("https://twitter.com/Xiscally/status/1065282078479138817","1065282078479138817")</f>
        <v>1065282078479138817</v>
      </c>
      <c r="F1116" s="12"/>
      <c r="G1116" s="12"/>
      <c r="H1116" s="12"/>
      <c r="I1116" s="13">
        <v>0</v>
      </c>
      <c r="J1116" s="13">
        <v>1</v>
      </c>
      <c r="K1116" s="14" t="str">
        <f>HYPERLINK("http://twitter.com","Twitter Web Client")</f>
        <v>Twitter Web Client</v>
      </c>
      <c r="L1116" s="13">
        <v>636</v>
      </c>
      <c r="M1116" s="13">
        <v>321</v>
      </c>
      <c r="N1116" s="13">
        <v>54</v>
      </c>
      <c r="O1116" s="15"/>
      <c r="P1116" s="6">
        <v>40014.69908564815</v>
      </c>
      <c r="Q1116" s="16" t="s">
        <v>5759</v>
      </c>
      <c r="R1116" s="17" t="s">
        <v>5760</v>
      </c>
      <c r="S1116" s="11" t="s">
        <v>5761</v>
      </c>
      <c r="T1116" s="12"/>
      <c r="U1116" s="10" t="str">
        <f>HYPERLINK("https://pbs.twimg.com/profile_images/378800000656060765/0c7e482271392c1346f5fecd05e06c0a.jpeg","View")</f>
        <v>View</v>
      </c>
    </row>
    <row r="1117" spans="1:21" ht="81.599999999999994">
      <c r="A1117" s="6">
        <v>43425.730775462958</v>
      </c>
      <c r="B1117" s="7" t="str">
        <f>HYPERLINK("https://twitter.com/luismhg63","@luismhg63")</f>
        <v>@luismhg63</v>
      </c>
      <c r="C1117" s="8" t="s">
        <v>2816</v>
      </c>
      <c r="D1117" s="9" t="s">
        <v>2817</v>
      </c>
      <c r="E1117" s="10" t="str">
        <f>HYPERLINK("https://twitter.com/luismhg63/status/1065281765143715840","1065281765143715840")</f>
        <v>1065281765143715840</v>
      </c>
      <c r="F1117" s="11" t="s">
        <v>2819</v>
      </c>
      <c r="G1117" s="11" t="s">
        <v>2820</v>
      </c>
      <c r="H1117" s="12"/>
      <c r="I1117" s="13">
        <v>0</v>
      </c>
      <c r="J1117" s="13">
        <v>0</v>
      </c>
      <c r="K1117" s="14" t="str">
        <f t="shared" ref="K1117:K1118" si="234">HYPERLINK("http://twitter.com/download/android","Twitter for Android")</f>
        <v>Twitter for Android</v>
      </c>
      <c r="L1117" s="13">
        <v>3028</v>
      </c>
      <c r="M1117" s="13">
        <v>3358</v>
      </c>
      <c r="N1117" s="13">
        <v>1</v>
      </c>
      <c r="O1117" s="15"/>
      <c r="P1117" s="6">
        <v>40982.556018518517</v>
      </c>
      <c r="Q1117" s="16" t="s">
        <v>2276</v>
      </c>
      <c r="R1117" s="17" t="s">
        <v>2821</v>
      </c>
      <c r="S1117" s="12"/>
      <c r="T1117" s="12"/>
      <c r="U1117" s="10" t="str">
        <f>HYPERLINK("https://pbs.twimg.com/profile_images/1049983396087255045/XJJY0TBa.jpg","View")</f>
        <v>View</v>
      </c>
    </row>
    <row r="1118" spans="1:21" ht="51">
      <c r="A1118" s="6">
        <v>43425.729849537034</v>
      </c>
      <c r="B1118" s="7" t="str">
        <f>HYPERLINK("https://twitter.com/O_Zeda","@O_Zeda")</f>
        <v>@O_Zeda</v>
      </c>
      <c r="C1118" s="8" t="s">
        <v>5765</v>
      </c>
      <c r="D1118" s="9" t="s">
        <v>5766</v>
      </c>
      <c r="E1118" s="10" t="str">
        <f>HYPERLINK("https://twitter.com/O_Zeda/status/1065281429867823105","1065281429867823105")</f>
        <v>1065281429867823105</v>
      </c>
      <c r="F1118" s="11" t="s">
        <v>5767</v>
      </c>
      <c r="G1118" s="12"/>
      <c r="H1118" s="12"/>
      <c r="I1118" s="13">
        <v>0</v>
      </c>
      <c r="J1118" s="13">
        <v>2</v>
      </c>
      <c r="K1118" s="14" t="str">
        <f t="shared" si="234"/>
        <v>Twitter for Android</v>
      </c>
      <c r="L1118" s="13">
        <v>718</v>
      </c>
      <c r="M1118" s="13">
        <v>421</v>
      </c>
      <c r="N1118" s="13">
        <v>3</v>
      </c>
      <c r="O1118" s="15"/>
      <c r="P1118" s="6">
        <v>40682.889479166668</v>
      </c>
      <c r="Q1118" s="16" t="s">
        <v>3058</v>
      </c>
      <c r="R1118" s="17" t="s">
        <v>5768</v>
      </c>
      <c r="S1118" s="12"/>
      <c r="T1118" s="12"/>
      <c r="U1118" s="10" t="str">
        <f>HYPERLINK("https://pbs.twimg.com/profile_images/484378715812810753/MEm9shhy.jpeg","View")</f>
        <v>View</v>
      </c>
    </row>
    <row r="1119" spans="1:21" ht="40.799999999999997">
      <c r="A1119" s="6">
        <v>43425.729722222226</v>
      </c>
      <c r="B1119" s="7" t="str">
        <f>HYPERLINK("https://twitter.com/TercioHispanico","@TercioHispanico")</f>
        <v>@TercioHispanico</v>
      </c>
      <c r="C1119" s="8" t="s">
        <v>1730</v>
      </c>
      <c r="D1119" s="9" t="s">
        <v>5771</v>
      </c>
      <c r="E1119" s="10" t="str">
        <f>HYPERLINK("https://twitter.com/TercioHispanico/status/1065281383931805696","1065281383931805696")</f>
        <v>1065281383931805696</v>
      </c>
      <c r="F1119" s="11" t="s">
        <v>5772</v>
      </c>
      <c r="G1119" s="12"/>
      <c r="H1119" s="12"/>
      <c r="I1119" s="13">
        <v>0</v>
      </c>
      <c r="J1119" s="13">
        <v>0</v>
      </c>
      <c r="K1119" s="14" t="str">
        <f>HYPERLINK("https://diariorc.com","Tercio Hispánico App C")</f>
        <v>Tercio Hispánico App C</v>
      </c>
      <c r="L1119" s="13">
        <v>1463</v>
      </c>
      <c r="M1119" s="13">
        <v>1448</v>
      </c>
      <c r="N1119" s="13">
        <v>3</v>
      </c>
      <c r="O1119" s="15"/>
      <c r="P1119" s="6">
        <v>43074.817384259259</v>
      </c>
      <c r="Q1119" s="16" t="s">
        <v>37</v>
      </c>
      <c r="R1119" s="17" t="s">
        <v>1733</v>
      </c>
      <c r="S1119" s="12"/>
      <c r="T1119" s="12"/>
      <c r="U1119" s="10" t="str">
        <f>HYPERLINK("https://pbs.twimg.com/profile_images/938810411045941249/GJ1yq9OJ.jpg","View")</f>
        <v>View</v>
      </c>
    </row>
    <row r="1120" spans="1:21" ht="40.799999999999997">
      <c r="A1120" s="6">
        <v>43425.729421296295</v>
      </c>
      <c r="B1120" s="7" t="str">
        <f>HYPERLINK("https://twitter.com/Cs_CLM","@Cs_CLM")</f>
        <v>@Cs_CLM</v>
      </c>
      <c r="C1120" s="8" t="s">
        <v>1235</v>
      </c>
      <c r="D1120" s="9" t="s">
        <v>2825</v>
      </c>
      <c r="E1120" s="10" t="str">
        <f>HYPERLINK("https://twitter.com/Cs_CLM/status/1065281276259770368","1065281276259770368")</f>
        <v>1065281276259770368</v>
      </c>
      <c r="F1120" s="12"/>
      <c r="G1120" s="11" t="s">
        <v>2826</v>
      </c>
      <c r="H1120" s="12"/>
      <c r="I1120" s="13">
        <v>7</v>
      </c>
      <c r="J1120" s="13">
        <v>7</v>
      </c>
      <c r="K1120" s="14" t="str">
        <f t="shared" ref="K1120:K1121" si="235">HYPERLINK("http://twitter.com/download/iphone","Twitter for iPhone")</f>
        <v>Twitter for iPhone</v>
      </c>
      <c r="L1120" s="13">
        <v>4223</v>
      </c>
      <c r="M1120" s="13">
        <v>628</v>
      </c>
      <c r="N1120" s="13">
        <v>72</v>
      </c>
      <c r="O1120" s="15"/>
      <c r="P1120" s="6">
        <v>42106.981793981482</v>
      </c>
      <c r="Q1120" s="16" t="s">
        <v>171</v>
      </c>
      <c r="R1120" s="17" t="s">
        <v>1238</v>
      </c>
      <c r="S1120" s="11" t="s">
        <v>1239</v>
      </c>
      <c r="T1120" s="12"/>
      <c r="U1120" s="10" t="str">
        <f>HYPERLINK("https://pbs.twimg.com/profile_images/1053405513923416064/Z9jG76VP.jpg","View")</f>
        <v>View</v>
      </c>
    </row>
    <row r="1121" spans="1:21" ht="51">
      <c r="A1121" s="6">
        <v>43425.729247685187</v>
      </c>
      <c r="B1121" s="7" t="str">
        <f>HYPERLINK("https://twitter.com/LlenyataireCAT","@LlenyataireCAT")</f>
        <v>@LlenyataireCAT</v>
      </c>
      <c r="C1121" s="8" t="s">
        <v>2827</v>
      </c>
      <c r="D1121" s="9" t="s">
        <v>2828</v>
      </c>
      <c r="E1121" s="10" t="str">
        <f>HYPERLINK("https://twitter.com/LlenyataireCAT/status/1065281212011503622","1065281212011503622")</f>
        <v>1065281212011503622</v>
      </c>
      <c r="F1121" s="12"/>
      <c r="G1121" s="12"/>
      <c r="H1121" s="12"/>
      <c r="I1121" s="13">
        <v>1</v>
      </c>
      <c r="J1121" s="13">
        <v>0</v>
      </c>
      <c r="K1121" s="14" t="str">
        <f t="shared" si="235"/>
        <v>Twitter for iPhone</v>
      </c>
      <c r="L1121" s="13">
        <v>1028</v>
      </c>
      <c r="M1121" s="13">
        <v>1184</v>
      </c>
      <c r="N1121" s="13">
        <v>2</v>
      </c>
      <c r="O1121" s="15"/>
      <c r="P1121" s="6">
        <v>42970.073680555557</v>
      </c>
      <c r="Q1121" s="12"/>
      <c r="R1121" s="17" t="s">
        <v>2831</v>
      </c>
      <c r="S1121" s="12"/>
      <c r="T1121" s="12"/>
      <c r="U1121" s="10" t="str">
        <f>HYPERLINK("https://pbs.twimg.com/profile_images/906489902216380416/HXOuqh8K.jpg","View")</f>
        <v>View</v>
      </c>
    </row>
    <row r="1122" spans="1:21" ht="40.799999999999997">
      <c r="A1122" s="6">
        <v>43425.726736111115</v>
      </c>
      <c r="B1122" s="7" t="str">
        <f>HYPERLINK("https://twitter.com/MariSolSolet","@MariSolSolet")</f>
        <v>@MariSolSolet</v>
      </c>
      <c r="C1122" s="8" t="s">
        <v>5780</v>
      </c>
      <c r="D1122" s="9" t="s">
        <v>5781</v>
      </c>
      <c r="E1122" s="10" t="str">
        <f>HYPERLINK("https://twitter.com/MariSolSolet/status/1065280303126798343","1065280303126798343")</f>
        <v>1065280303126798343</v>
      </c>
      <c r="F1122" s="12"/>
      <c r="G1122" s="11" t="s">
        <v>5782</v>
      </c>
      <c r="H1122" s="12"/>
      <c r="I1122" s="13">
        <v>4</v>
      </c>
      <c r="J1122" s="13">
        <v>1</v>
      </c>
      <c r="K1122" s="14" t="str">
        <f t="shared" ref="K1122:K1123" si="236">HYPERLINK("http://twitter.com/download/android","Twitter for Android")</f>
        <v>Twitter for Android</v>
      </c>
      <c r="L1122" s="13">
        <v>4563</v>
      </c>
      <c r="M1122" s="13">
        <v>4105</v>
      </c>
      <c r="N1122" s="13">
        <v>61</v>
      </c>
      <c r="O1122" s="15"/>
      <c r="P1122" s="6">
        <v>41525.818819444445</v>
      </c>
      <c r="Q1122" s="16" t="s">
        <v>37</v>
      </c>
      <c r="R1122" s="17" t="s">
        <v>5784</v>
      </c>
      <c r="S1122" s="12"/>
      <c r="T1122" s="12"/>
      <c r="U1122" s="10" t="str">
        <f>HYPERLINK("https://pbs.twimg.com/profile_images/1008614160316461056/nWKrpg30.jpg","View")</f>
        <v>View</v>
      </c>
    </row>
    <row r="1123" spans="1:21" ht="40.799999999999997">
      <c r="A1123" s="6">
        <v>43425.726226851853</v>
      </c>
      <c r="B1123" s="7" t="str">
        <f>HYPERLINK("https://twitter.com/DavidUrlanga","@DavidUrlanga")</f>
        <v>@DavidUrlanga</v>
      </c>
      <c r="C1123" s="8" t="s">
        <v>2832</v>
      </c>
      <c r="D1123" s="9" t="s">
        <v>2833</v>
      </c>
      <c r="E1123" s="10" t="str">
        <f>HYPERLINK("https://twitter.com/DavidUrlanga/status/1065280115985264640","1065280115985264640")</f>
        <v>1065280115985264640</v>
      </c>
      <c r="F1123" s="12"/>
      <c r="G1123" s="11" t="s">
        <v>2834</v>
      </c>
      <c r="H1123" s="12"/>
      <c r="I1123" s="13">
        <v>0</v>
      </c>
      <c r="J1123" s="13">
        <v>0</v>
      </c>
      <c r="K1123" s="14" t="str">
        <f t="shared" si="236"/>
        <v>Twitter for Android</v>
      </c>
      <c r="L1123" s="13">
        <v>12</v>
      </c>
      <c r="M1123" s="13">
        <v>20</v>
      </c>
      <c r="N1123" s="13">
        <v>1</v>
      </c>
      <c r="O1123" s="15"/>
      <c r="P1123" s="6">
        <v>41401.719571759255</v>
      </c>
      <c r="Q1123" s="12"/>
      <c r="R1123" s="19"/>
      <c r="S1123" s="12"/>
      <c r="T1123" s="12"/>
      <c r="U1123" s="10" t="str">
        <f>HYPERLINK("https://pbs.twimg.com/profile_images/963066148509102080/oPM5UnWw.jpg","View")</f>
        <v>View</v>
      </c>
    </row>
    <row r="1124" spans="1:21" ht="20.399999999999999">
      <c r="A1124" s="6">
        <v>43425.724756944444</v>
      </c>
      <c r="B1124" s="7" t="str">
        <f>HYPERLINK("https://twitter.com/sweetmadafacko","@sweetmadafacko")</f>
        <v>@sweetmadafacko</v>
      </c>
      <c r="C1124" s="8" t="s">
        <v>2835</v>
      </c>
      <c r="D1124" s="9" t="s">
        <v>2836</v>
      </c>
      <c r="E1124" s="10" t="str">
        <f>HYPERLINK("https://twitter.com/sweetmadafacko/status/1065279583996583940","1065279583996583940")</f>
        <v>1065279583996583940</v>
      </c>
      <c r="F1124" s="12"/>
      <c r="G1124" s="12"/>
      <c r="H1124" s="12"/>
      <c r="I1124" s="13">
        <v>0</v>
      </c>
      <c r="J1124" s="13">
        <v>0</v>
      </c>
      <c r="K1124" s="14" t="str">
        <f>HYPERLINK("http://twitter.com","Twitter Web Client")</f>
        <v>Twitter Web Client</v>
      </c>
      <c r="L1124" s="13">
        <v>82</v>
      </c>
      <c r="M1124" s="13">
        <v>462</v>
      </c>
      <c r="N1124" s="13">
        <v>3</v>
      </c>
      <c r="O1124" s="15"/>
      <c r="P1124" s="6">
        <v>42744.922662037032</v>
      </c>
      <c r="Q1124" s="16" t="s">
        <v>2837</v>
      </c>
      <c r="R1124" s="17" t="s">
        <v>2838</v>
      </c>
      <c r="S1124" s="12"/>
      <c r="T1124" s="12"/>
      <c r="U1124" s="10" t="str">
        <f>HYPERLINK("https://pbs.twimg.com/profile_images/1016568754627600384/j6L8bxvk.jpg","View")</f>
        <v>View</v>
      </c>
    </row>
    <row r="1125" spans="1:21" ht="71.400000000000006">
      <c r="A1125" s="6">
        <v>43425.72246527778</v>
      </c>
      <c r="B1125" s="7" t="str">
        <f>HYPERLINK("https://twitter.com/bizkaiavizcaya","@bizkaiavizcaya")</f>
        <v>@bizkaiavizcaya</v>
      </c>
      <c r="C1125" s="8" t="s">
        <v>2839</v>
      </c>
      <c r="D1125" s="9" t="s">
        <v>2840</v>
      </c>
      <c r="E1125" s="10" t="str">
        <f>HYPERLINK("https://twitter.com/bizkaiavizcaya/status/1065278751846617088","1065278751846617088")</f>
        <v>1065278751846617088</v>
      </c>
      <c r="F1125" s="11" t="s">
        <v>2066</v>
      </c>
      <c r="G1125" s="11" t="s">
        <v>2067</v>
      </c>
      <c r="H1125" s="12"/>
      <c r="I1125" s="13">
        <v>0</v>
      </c>
      <c r="J1125" s="13">
        <v>0</v>
      </c>
      <c r="K1125" s="14" t="str">
        <f>HYPERLINK("http://twitter.com/download/android","Twitter for Android")</f>
        <v>Twitter for Android</v>
      </c>
      <c r="L1125" s="13">
        <v>696</v>
      </c>
      <c r="M1125" s="13">
        <v>2315</v>
      </c>
      <c r="N1125" s="13">
        <v>3</v>
      </c>
      <c r="O1125" s="15"/>
      <c r="P1125" s="6">
        <v>42274.099826388891</v>
      </c>
      <c r="Q1125" s="12"/>
      <c r="R1125" s="17" t="s">
        <v>2842</v>
      </c>
      <c r="S1125" s="12"/>
      <c r="T1125" s="12"/>
      <c r="U1125" s="10" t="str">
        <f>HYPERLINK("https://pbs.twimg.com/profile_images/647932699559206913/TNQeaZwV.png","View")</f>
        <v>View</v>
      </c>
    </row>
    <row r="1126" spans="1:21" ht="61.2">
      <c r="A1126" s="6">
        <v>43425.721458333333</v>
      </c>
      <c r="B1126" s="7" t="str">
        <f>HYPERLINK("https://twitter.com/lmalgosa","@lmalgosa")</f>
        <v>@lmalgosa</v>
      </c>
      <c r="C1126" s="8" t="s">
        <v>2843</v>
      </c>
      <c r="D1126" s="9" t="s">
        <v>2844</v>
      </c>
      <c r="E1126" s="10" t="str">
        <f>HYPERLINK("https://twitter.com/lmalgosa/status/1065278388426944512","1065278388426944512")</f>
        <v>1065278388426944512</v>
      </c>
      <c r="F1126" s="11" t="s">
        <v>2577</v>
      </c>
      <c r="G1126" s="11" t="s">
        <v>2578</v>
      </c>
      <c r="H1126" s="12"/>
      <c r="I1126" s="13">
        <v>1</v>
      </c>
      <c r="J1126" s="13">
        <v>1</v>
      </c>
      <c r="K1126" s="14" t="str">
        <f>HYPERLINK("http://twitter.com/download/iphone","Twitter for iPhone")</f>
        <v>Twitter for iPhone</v>
      </c>
      <c r="L1126" s="13">
        <v>78</v>
      </c>
      <c r="M1126" s="13">
        <v>347</v>
      </c>
      <c r="N1126" s="13">
        <v>0</v>
      </c>
      <c r="O1126" s="15"/>
      <c r="P1126" s="6">
        <v>42966.647870370369</v>
      </c>
      <c r="Q1126" s="16" t="s">
        <v>448</v>
      </c>
      <c r="R1126" s="17" t="s">
        <v>2845</v>
      </c>
      <c r="S1126" s="12"/>
      <c r="T1126" s="12"/>
      <c r="U1126" s="10" t="str">
        <f>HYPERLINK("https://pbs.twimg.com/profile_images/976903697354588169/5NW1hHAg.jpg","View")</f>
        <v>View</v>
      </c>
    </row>
    <row r="1127" spans="1:21" ht="20.399999999999999">
      <c r="A1127" s="6">
        <v>43425.720937499995</v>
      </c>
      <c r="B1127" s="7" t="str">
        <f>HYPERLINK("https://twitter.com/Josegonsan","@Josegonsan")</f>
        <v>@Josegonsan</v>
      </c>
      <c r="C1127" s="8" t="s">
        <v>112</v>
      </c>
      <c r="D1127" s="9" t="s">
        <v>5796</v>
      </c>
      <c r="E1127" s="10" t="str">
        <f>HYPERLINK("https://twitter.com/Josegonsan/status/1065278200614391808","1065278200614391808")</f>
        <v>1065278200614391808</v>
      </c>
      <c r="F1127" s="12"/>
      <c r="G1127" s="12"/>
      <c r="H1127" s="12"/>
      <c r="I1127" s="13">
        <v>0</v>
      </c>
      <c r="J1127" s="13">
        <v>0</v>
      </c>
      <c r="K1127" s="14" t="str">
        <f>HYPERLINK("http://twitter.com/download/android","Twitter for Android")</f>
        <v>Twitter for Android</v>
      </c>
      <c r="L1127" s="13">
        <v>23</v>
      </c>
      <c r="M1127" s="13">
        <v>117</v>
      </c>
      <c r="N1127" s="13">
        <v>0</v>
      </c>
      <c r="O1127" s="15"/>
      <c r="P1127" s="6">
        <v>42171.603854166664</v>
      </c>
      <c r="Q1127" s="16" t="s">
        <v>116</v>
      </c>
      <c r="R1127" s="19"/>
      <c r="S1127" s="12"/>
      <c r="T1127" s="12"/>
      <c r="U1127" s="10" t="str">
        <f>HYPERLINK("https://pbs.twimg.com/profile_images/613410644201721857/9uDgGBog.jpg","View")</f>
        <v>View</v>
      </c>
    </row>
    <row r="1128" spans="1:21" ht="30.6">
      <c r="A1128" s="6">
        <v>43425.720625000002</v>
      </c>
      <c r="B1128" s="7" t="str">
        <f>HYPERLINK("https://twitter.com/CarneroFco","@CarneroFco")</f>
        <v>@CarneroFco</v>
      </c>
      <c r="C1128" s="8" t="s">
        <v>2846</v>
      </c>
      <c r="D1128" s="9" t="s">
        <v>2847</v>
      </c>
      <c r="E1128" s="10" t="str">
        <f>HYPERLINK("https://twitter.com/CarneroFco/status/1065278085224898561","1065278085224898561")</f>
        <v>1065278085224898561</v>
      </c>
      <c r="F1128" s="12"/>
      <c r="G1128" s="12"/>
      <c r="H1128" s="12"/>
      <c r="I1128" s="13">
        <v>0</v>
      </c>
      <c r="J1128" s="13">
        <v>0</v>
      </c>
      <c r="K1128" s="14" t="str">
        <f>HYPERLINK("http://twitter.com/download/iphone","Twitter for iPhone")</f>
        <v>Twitter for iPhone</v>
      </c>
      <c r="L1128" s="13">
        <v>46</v>
      </c>
      <c r="M1128" s="13">
        <v>229</v>
      </c>
      <c r="N1128" s="13">
        <v>0</v>
      </c>
      <c r="O1128" s="15"/>
      <c r="P1128" s="6">
        <v>43375.722627314812</v>
      </c>
      <c r="Q1128" s="12"/>
      <c r="R1128" s="19"/>
      <c r="S1128" s="12"/>
      <c r="T1128" s="12"/>
      <c r="U1128" s="10" t="str">
        <f>HYPERLINK("https://pbs.twimg.com/profile_images/1051165769516617728/HU4Zrokw.jpg","View")</f>
        <v>View</v>
      </c>
    </row>
    <row r="1129" spans="1:21" ht="51">
      <c r="A1129" s="6">
        <v>43425.719780092593</v>
      </c>
      <c r="B1129" s="7" t="str">
        <f>HYPERLINK("https://twitter.com/CapPescanova","@CapPescanova")</f>
        <v>@CapPescanova</v>
      </c>
      <c r="C1129" s="8" t="s">
        <v>1452</v>
      </c>
      <c r="D1129" s="9" t="s">
        <v>2848</v>
      </c>
      <c r="E1129" s="10" t="str">
        <f>HYPERLINK("https://twitter.com/CapPescanova/status/1065277779997089792","1065277779997089792")</f>
        <v>1065277779997089792</v>
      </c>
      <c r="F1129" s="12"/>
      <c r="G1129" s="12"/>
      <c r="H1129" s="12"/>
      <c r="I1129" s="13">
        <v>0</v>
      </c>
      <c r="J1129" s="13">
        <v>2</v>
      </c>
      <c r="K1129" s="14" t="str">
        <f t="shared" ref="K1129:K1130" si="237">HYPERLINK("http://twitter.com/download/android","Twitter for Android")</f>
        <v>Twitter for Android</v>
      </c>
      <c r="L1129" s="13">
        <v>966</v>
      </c>
      <c r="M1129" s="13">
        <v>858</v>
      </c>
      <c r="N1129" s="13">
        <v>37</v>
      </c>
      <c r="O1129" s="15"/>
      <c r="P1129" s="6">
        <v>41148.691643518519</v>
      </c>
      <c r="Q1129" s="16" t="s">
        <v>1460</v>
      </c>
      <c r="R1129" s="17" t="s">
        <v>1461</v>
      </c>
      <c r="S1129" s="11" t="s">
        <v>1462</v>
      </c>
      <c r="T1129" s="12"/>
      <c r="U1129" s="10" t="str">
        <f>HYPERLINK("https://pbs.twimg.com/profile_images/2549038231/playmobil-captain.jpg","View")</f>
        <v>View</v>
      </c>
    </row>
    <row r="1130" spans="1:21" ht="40.799999999999997">
      <c r="A1130" s="6">
        <v>43425.719583333332</v>
      </c>
      <c r="B1130" s="7" t="str">
        <f>HYPERLINK("https://twitter.com/bsanchse","@bsanchse")</f>
        <v>@bsanchse</v>
      </c>
      <c r="C1130" s="8" t="s">
        <v>2850</v>
      </c>
      <c r="D1130" s="9" t="s">
        <v>2851</v>
      </c>
      <c r="E1130" s="10" t="str">
        <f>HYPERLINK("https://twitter.com/bsanchse/status/1065277708656095232","1065277708656095232")</f>
        <v>1065277708656095232</v>
      </c>
      <c r="F1130" s="12"/>
      <c r="G1130" s="11" t="s">
        <v>2852</v>
      </c>
      <c r="H1130" s="12"/>
      <c r="I1130" s="13">
        <v>0</v>
      </c>
      <c r="J1130" s="13">
        <v>0</v>
      </c>
      <c r="K1130" s="14" t="str">
        <f t="shared" si="237"/>
        <v>Twitter for Android</v>
      </c>
      <c r="L1130" s="13">
        <v>456</v>
      </c>
      <c r="M1130" s="13">
        <v>791</v>
      </c>
      <c r="N1130" s="13">
        <v>14</v>
      </c>
      <c r="O1130" s="15"/>
      <c r="P1130" s="6">
        <v>40125.042962962965</v>
      </c>
      <c r="Q1130" s="16" t="s">
        <v>2853</v>
      </c>
      <c r="R1130" s="17" t="s">
        <v>2854</v>
      </c>
      <c r="S1130" s="12"/>
      <c r="T1130" s="12"/>
      <c r="U1130" s="10" t="str">
        <f>HYPERLINK("https://pbs.twimg.com/profile_images/693736944442941440/CcQ9-boJ.jpg","View")</f>
        <v>View</v>
      </c>
    </row>
    <row r="1131" spans="1:21" ht="30.6">
      <c r="A1131" s="6">
        <v>43425.717442129629</v>
      </c>
      <c r="B1131" s="7" t="str">
        <f>HYPERLINK("https://twitter.com/GanaElPSOE","@GanaElPSOE")</f>
        <v>@GanaElPSOE</v>
      </c>
      <c r="C1131" s="8" t="s">
        <v>5808</v>
      </c>
      <c r="D1131" s="9" t="s">
        <v>4308</v>
      </c>
      <c r="E1131" s="10" t="str">
        <f>HYPERLINK("https://twitter.com/GanaElPSOE/status/1065276935205457920","1065276935205457920")</f>
        <v>1065276935205457920</v>
      </c>
      <c r="F1131" s="11" t="s">
        <v>1228</v>
      </c>
      <c r="G1131" s="12"/>
      <c r="H1131" s="12"/>
      <c r="I1131" s="13">
        <v>0</v>
      </c>
      <c r="J1131" s="13">
        <v>0</v>
      </c>
      <c r="K1131" s="14" t="str">
        <f>HYPERLINK("http://twitter.com/#!/download/ipad","Twitter for iPad")</f>
        <v>Twitter for iPad</v>
      </c>
      <c r="L1131" s="13">
        <v>626</v>
      </c>
      <c r="M1131" s="13">
        <v>761</v>
      </c>
      <c r="N1131" s="13">
        <v>9</v>
      </c>
      <c r="O1131" s="15"/>
      <c r="P1131" s="6">
        <v>42712.847881944443</v>
      </c>
      <c r="Q1131" s="16" t="s">
        <v>5812</v>
      </c>
      <c r="R1131" s="17" t="s">
        <v>5813</v>
      </c>
      <c r="S1131" s="12"/>
      <c r="T1131" s="12"/>
      <c r="U1131" s="10" t="str">
        <f>HYPERLINK("https://pbs.twimg.com/profile_images/1002153862881533952/SB6wgd9t.jpg","View")</f>
        <v>View</v>
      </c>
    </row>
    <row r="1132" spans="1:21" ht="30.6">
      <c r="A1132" s="6">
        <v>43425.716284722221</v>
      </c>
      <c r="B1132" s="7" t="str">
        <f>HYPERLINK("https://twitter.com/ayquedrama","@ayquedrama")</f>
        <v>@ayquedrama</v>
      </c>
      <c r="C1132" s="8" t="s">
        <v>5815</v>
      </c>
      <c r="D1132" s="9" t="s">
        <v>5816</v>
      </c>
      <c r="E1132" s="10" t="str">
        <f>HYPERLINK("https://twitter.com/ayquedrama/status/1065276515720536065","1065276515720536065")</f>
        <v>1065276515720536065</v>
      </c>
      <c r="F1132" s="16" t="s">
        <v>2486</v>
      </c>
      <c r="G1132" s="11" t="s">
        <v>2487</v>
      </c>
      <c r="H1132" s="12"/>
      <c r="I1132" s="13">
        <v>2</v>
      </c>
      <c r="J1132" s="13">
        <v>1</v>
      </c>
      <c r="K1132" s="14" t="str">
        <f>HYPERLINK("http://twitter.com/download/iphone","Twitter for iPhone")</f>
        <v>Twitter for iPhone</v>
      </c>
      <c r="L1132" s="13">
        <v>332</v>
      </c>
      <c r="M1132" s="13">
        <v>231</v>
      </c>
      <c r="N1132" s="13">
        <v>4</v>
      </c>
      <c r="O1132" s="15"/>
      <c r="P1132" s="6">
        <v>40968.746562500004</v>
      </c>
      <c r="Q1132" s="16" t="s">
        <v>5817</v>
      </c>
      <c r="R1132" s="17" t="s">
        <v>5818</v>
      </c>
      <c r="S1132" s="12"/>
      <c r="T1132" s="12"/>
      <c r="U1132" s="10" t="str">
        <f>HYPERLINK("https://pbs.twimg.com/profile_images/1064840801761591296/LftvLB2m.jpg","View")</f>
        <v>View</v>
      </c>
    </row>
    <row r="1133" spans="1:21" ht="30.6">
      <c r="A1133" s="6">
        <v>43425.715439814812</v>
      </c>
      <c r="B1133" s="7" t="str">
        <f>HYPERLINK("https://twitter.com/publico_es","@publico_es")</f>
        <v>@publico_es</v>
      </c>
      <c r="C1133" s="8" t="s">
        <v>2597</v>
      </c>
      <c r="D1133" s="9" t="s">
        <v>5821</v>
      </c>
      <c r="E1133" s="10" t="str">
        <f>HYPERLINK("https://twitter.com/publico_es/status/1065276209754505217","1065276209754505217")</f>
        <v>1065276209754505217</v>
      </c>
      <c r="F1133" s="11" t="s">
        <v>2078</v>
      </c>
      <c r="G1133" s="11" t="s">
        <v>5823</v>
      </c>
      <c r="H1133" s="12"/>
      <c r="I1133" s="13">
        <v>20</v>
      </c>
      <c r="J1133" s="13">
        <v>14</v>
      </c>
      <c r="K1133" s="14" t="str">
        <f t="shared" ref="K1133:K1134" si="238">HYPERLINK("http://twitter.com","Twitter Web Client")</f>
        <v>Twitter Web Client</v>
      </c>
      <c r="L1133" s="13">
        <v>911012</v>
      </c>
      <c r="M1133" s="13">
        <v>1455</v>
      </c>
      <c r="N1133" s="13">
        <v>14825</v>
      </c>
      <c r="O1133" s="18" t="s">
        <v>36</v>
      </c>
      <c r="P1133" s="6">
        <v>39779.559525462959</v>
      </c>
      <c r="Q1133" s="16" t="s">
        <v>440</v>
      </c>
      <c r="R1133" s="17" t="s">
        <v>2602</v>
      </c>
      <c r="S1133" s="11" t="s">
        <v>2603</v>
      </c>
      <c r="T1133" s="12"/>
      <c r="U1133" s="10" t="str">
        <f>HYPERLINK("https://pbs.twimg.com/profile_images/1048242435682422786/FdzZWHU8.jpg","View")</f>
        <v>View</v>
      </c>
    </row>
    <row r="1134" spans="1:21" ht="20.399999999999999">
      <c r="A1134" s="6">
        <v>43425.713078703702</v>
      </c>
      <c r="B1134" s="7" t="str">
        <f>HYPERLINK("https://twitter.com/naxcat","@naxcat")</f>
        <v>@naxcat</v>
      </c>
      <c r="C1134" s="8" t="s">
        <v>5828</v>
      </c>
      <c r="D1134" s="9" t="s">
        <v>1697</v>
      </c>
      <c r="E1134" s="10" t="str">
        <f>HYPERLINK("https://twitter.com/naxcat/status/1065275350832304128","1065275350832304128")</f>
        <v>1065275350832304128</v>
      </c>
      <c r="F1134" s="11" t="s">
        <v>1700</v>
      </c>
      <c r="G1134" s="12"/>
      <c r="H1134" s="12"/>
      <c r="I1134" s="13">
        <v>0</v>
      </c>
      <c r="J1134" s="13">
        <v>0</v>
      </c>
      <c r="K1134" s="14" t="str">
        <f t="shared" si="238"/>
        <v>Twitter Web Client</v>
      </c>
      <c r="L1134" s="13">
        <v>366</v>
      </c>
      <c r="M1134" s="13">
        <v>1009</v>
      </c>
      <c r="N1134" s="13">
        <v>3</v>
      </c>
      <c r="O1134" s="15"/>
      <c r="P1134" s="6">
        <v>40583.919293981482</v>
      </c>
      <c r="Q1134" s="16" t="s">
        <v>584</v>
      </c>
      <c r="R1134" s="17" t="s">
        <v>5830</v>
      </c>
      <c r="S1134" s="12"/>
      <c r="T1134" s="12"/>
      <c r="U1134" s="10" t="str">
        <f>HYPERLINK("https://pbs.twimg.com/profile_images/722560638996869120/XpPOAUGl.jpg","View")</f>
        <v>View</v>
      </c>
    </row>
    <row r="1135" spans="1:21" ht="51">
      <c r="A1135" s="6">
        <v>43425.712268518517</v>
      </c>
      <c r="B1135" s="7" t="str">
        <f>HYPERLINK("https://twitter.com/7_ZeRoIo","@7_ZeRoIo")</f>
        <v>@7_ZeRoIo</v>
      </c>
      <c r="C1135" s="8" t="s">
        <v>5831</v>
      </c>
      <c r="D1135" s="9" t="s">
        <v>5832</v>
      </c>
      <c r="E1135" s="10" t="str">
        <f>HYPERLINK("https://twitter.com/7_ZeRoIo/status/1065275057692393473","1065275057692393473")</f>
        <v>1065275057692393473</v>
      </c>
      <c r="F1135" s="12"/>
      <c r="G1135" s="11" t="s">
        <v>5833</v>
      </c>
      <c r="H1135" s="12"/>
      <c r="I1135" s="13">
        <v>1</v>
      </c>
      <c r="J1135" s="13">
        <v>4</v>
      </c>
      <c r="K1135" s="14" t="str">
        <f>HYPERLINK("http://twitter.com/download/android","Twitter for Android")</f>
        <v>Twitter for Android</v>
      </c>
      <c r="L1135" s="13">
        <v>2965</v>
      </c>
      <c r="M1135" s="13">
        <v>3738</v>
      </c>
      <c r="N1135" s="13">
        <v>2</v>
      </c>
      <c r="O1135" s="15"/>
      <c r="P1135" s="6">
        <v>42329.796481481477</v>
      </c>
      <c r="Q1135" s="16" t="s">
        <v>727</v>
      </c>
      <c r="R1135" s="17" t="s">
        <v>5836</v>
      </c>
      <c r="S1135" s="12"/>
      <c r="T1135" s="12"/>
      <c r="U1135" s="10" t="str">
        <f>HYPERLINK("https://pbs.twimg.com/profile_images/1057754774085476352/Zcy5ihHq.jpg","View")</f>
        <v>View</v>
      </c>
    </row>
    <row r="1136" spans="1:21" ht="51">
      <c r="A1136" s="6">
        <v>43425.711157407408</v>
      </c>
      <c r="B1136" s="7" t="str">
        <f>HYPERLINK("https://twitter.com/QueTePPires","@QueTePPires")</f>
        <v>@QueTePPires</v>
      </c>
      <c r="C1136" s="8" t="s">
        <v>2855</v>
      </c>
      <c r="D1136" s="9" t="s">
        <v>2856</v>
      </c>
      <c r="E1136" s="10" t="str">
        <f>HYPERLINK("https://twitter.com/QueTePPires/status/1065274654447886336","1065274654447886336")</f>
        <v>1065274654447886336</v>
      </c>
      <c r="F1136" s="16" t="s">
        <v>2504</v>
      </c>
      <c r="G1136" s="12"/>
      <c r="H1136" s="12"/>
      <c r="I1136" s="13">
        <v>0</v>
      </c>
      <c r="J1136" s="13">
        <v>0</v>
      </c>
      <c r="K1136" s="14" t="str">
        <f>HYPERLINK("http://twitter.com/download/iphone","Twitter for iPhone")</f>
        <v>Twitter for iPhone</v>
      </c>
      <c r="L1136" s="13">
        <v>761</v>
      </c>
      <c r="M1136" s="13">
        <v>548</v>
      </c>
      <c r="N1136" s="13">
        <v>5</v>
      </c>
      <c r="O1136" s="15"/>
      <c r="P1136" s="6">
        <v>41577.981944444444</v>
      </c>
      <c r="Q1136" s="12"/>
      <c r="R1136" s="17" t="s">
        <v>2858</v>
      </c>
      <c r="S1136" s="12"/>
      <c r="T1136" s="12"/>
      <c r="U1136" s="10" t="str">
        <f>HYPERLINK("https://pbs.twimg.com/profile_images/983721093771997184/Trulachy.jpg","View")</f>
        <v>View</v>
      </c>
    </row>
    <row r="1137" spans="1:21" ht="40.799999999999997">
      <c r="A1137" s="6">
        <v>43425.709722222222</v>
      </c>
      <c r="B1137" s="7" t="str">
        <f>HYPERLINK("https://twitter.com/bitMomentum","@bitMomentum")</f>
        <v>@bitMomentum</v>
      </c>
      <c r="C1137" s="8" t="s">
        <v>706</v>
      </c>
      <c r="D1137" s="9" t="s">
        <v>2860</v>
      </c>
      <c r="E1137" s="10" t="str">
        <f>HYPERLINK("https://twitter.com/bitMomentum/status/1065274134601580545","1065274134601580545")</f>
        <v>1065274134601580545</v>
      </c>
      <c r="F1137" s="12"/>
      <c r="G1137" s="12"/>
      <c r="H1137" s="12"/>
      <c r="I1137" s="13">
        <v>0</v>
      </c>
      <c r="J1137" s="13">
        <v>0</v>
      </c>
      <c r="K1137" s="14" t="str">
        <f>HYPERLINK("http://www.bitmomentum.com","bitMomentum Bot")</f>
        <v>bitMomentum Bot</v>
      </c>
      <c r="L1137" s="13">
        <v>10132</v>
      </c>
      <c r="M1137" s="13">
        <v>1060</v>
      </c>
      <c r="N1137" s="13">
        <v>262</v>
      </c>
      <c r="O1137" s="15"/>
      <c r="P1137" s="6">
        <v>41608.667511574073</v>
      </c>
      <c r="Q1137" s="12"/>
      <c r="R1137" s="17" t="s">
        <v>708</v>
      </c>
      <c r="S1137" s="11" t="s">
        <v>709</v>
      </c>
      <c r="T1137" s="12"/>
      <c r="U1137" s="10" t="str">
        <f>HYPERLINK("https://pbs.twimg.com/profile_images/378800000862185241/20ij2H3u.png","View")</f>
        <v>View</v>
      </c>
    </row>
    <row r="1138" spans="1:21" ht="13.2">
      <c r="A1138" s="6">
        <v>43425.709039351852</v>
      </c>
      <c r="B1138" s="7" t="str">
        <f>HYPERLINK("https://twitter.com/FachillaP","@FachillaP")</f>
        <v>@FachillaP</v>
      </c>
      <c r="C1138" s="8" t="s">
        <v>2861</v>
      </c>
      <c r="D1138" s="9" t="s">
        <v>2862</v>
      </c>
      <c r="E1138" s="10" t="str">
        <f>HYPERLINK("https://twitter.com/FachillaP/status/1065273888802770944","1065273888802770944")</f>
        <v>1065273888802770944</v>
      </c>
      <c r="F1138" s="12"/>
      <c r="G1138" s="11" t="s">
        <v>2863</v>
      </c>
      <c r="H1138" s="12"/>
      <c r="I1138" s="13">
        <v>0</v>
      </c>
      <c r="J1138" s="13">
        <v>1</v>
      </c>
      <c r="K1138" s="14" t="str">
        <f>HYPERLINK("http://twitter.com/download/iphone","Twitter for iPhone")</f>
        <v>Twitter for iPhone</v>
      </c>
      <c r="L1138" s="13">
        <v>17</v>
      </c>
      <c r="M1138" s="13">
        <v>108</v>
      </c>
      <c r="N1138" s="13">
        <v>0</v>
      </c>
      <c r="O1138" s="15"/>
      <c r="P1138" s="6">
        <v>43425.607337962967</v>
      </c>
      <c r="Q1138" s="16" t="s">
        <v>2866</v>
      </c>
      <c r="R1138" s="17" t="s">
        <v>2867</v>
      </c>
      <c r="S1138" s="12"/>
      <c r="T1138" s="12"/>
      <c r="U1138" s="10" t="str">
        <f>HYPERLINK("https://pbs.twimg.com/profile_images/1065239126679670784/mPTF4qY2.jpg","View")</f>
        <v>View</v>
      </c>
    </row>
    <row r="1139" spans="1:21" ht="40.799999999999997">
      <c r="A1139" s="6">
        <v>43425.709027777775</v>
      </c>
      <c r="B1139" s="7" t="str">
        <f>HYPERLINK("https://twitter.com/bitMomentum","@bitMomentum")</f>
        <v>@bitMomentum</v>
      </c>
      <c r="C1139" s="8" t="s">
        <v>706</v>
      </c>
      <c r="D1139" s="9" t="s">
        <v>2869</v>
      </c>
      <c r="E1139" s="10" t="str">
        <f>HYPERLINK("https://twitter.com/bitMomentum/status/1065273882939203584","1065273882939203584")</f>
        <v>1065273882939203584</v>
      </c>
      <c r="F1139" s="12"/>
      <c r="G1139" s="12"/>
      <c r="H1139" s="12"/>
      <c r="I1139" s="13">
        <v>0</v>
      </c>
      <c r="J1139" s="13">
        <v>0</v>
      </c>
      <c r="K1139" s="14" t="str">
        <f>HYPERLINK("http://www.bitmomentum.com","bitMomentum Bot")</f>
        <v>bitMomentum Bot</v>
      </c>
      <c r="L1139" s="13">
        <v>10132</v>
      </c>
      <c r="M1139" s="13">
        <v>1060</v>
      </c>
      <c r="N1139" s="13">
        <v>262</v>
      </c>
      <c r="O1139" s="15"/>
      <c r="P1139" s="6">
        <v>41608.667511574073</v>
      </c>
      <c r="Q1139" s="12"/>
      <c r="R1139" s="17" t="s">
        <v>708</v>
      </c>
      <c r="S1139" s="11" t="s">
        <v>709</v>
      </c>
      <c r="T1139" s="12"/>
      <c r="U1139" s="10" t="str">
        <f>HYPERLINK("https://pbs.twimg.com/profile_images/378800000862185241/20ij2H3u.png","View")</f>
        <v>View</v>
      </c>
    </row>
    <row r="1140" spans="1:21" ht="40.799999999999997">
      <c r="A1140" s="6">
        <v>43425.707870370374</v>
      </c>
      <c r="B1140" s="7" t="str">
        <f>HYPERLINK("https://twitter.com/Jaumeasens","@Jaumeasens")</f>
        <v>@Jaumeasens</v>
      </c>
      <c r="C1140" s="8" t="s">
        <v>2874</v>
      </c>
      <c r="D1140" s="9" t="s">
        <v>2875</v>
      </c>
      <c r="E1140" s="10" t="str">
        <f>HYPERLINK("https://twitter.com/Jaumeasens/status/1065273462804152323","1065273462804152323")</f>
        <v>1065273462804152323</v>
      </c>
      <c r="F1140" s="12"/>
      <c r="G1140" s="11" t="s">
        <v>2877</v>
      </c>
      <c r="H1140" s="12"/>
      <c r="I1140" s="13">
        <v>700</v>
      </c>
      <c r="J1140" s="13">
        <v>1618</v>
      </c>
      <c r="K1140" s="14" t="str">
        <f>HYPERLINK("http://twitter.com/download/iphone","Twitter for iPhone")</f>
        <v>Twitter for iPhone</v>
      </c>
      <c r="L1140" s="13">
        <v>53824</v>
      </c>
      <c r="M1140" s="13">
        <v>1328</v>
      </c>
      <c r="N1140" s="13">
        <v>479</v>
      </c>
      <c r="O1140" s="15"/>
      <c r="P1140" s="6">
        <v>40487.980520833335</v>
      </c>
      <c r="Q1140" s="16" t="s">
        <v>75</v>
      </c>
      <c r="R1140" s="17" t="s">
        <v>2878</v>
      </c>
      <c r="S1140" s="11" t="s">
        <v>2879</v>
      </c>
      <c r="T1140" s="12"/>
      <c r="U1140" s="10" t="str">
        <f>HYPERLINK("https://pbs.twimg.com/profile_images/901365778389368833/sy6VGDtQ.jpg","View")</f>
        <v>View</v>
      </c>
    </row>
    <row r="1141" spans="1:21" ht="40.799999999999997">
      <c r="A1141" s="6">
        <v>43425.704537037032</v>
      </c>
      <c r="B1141" s="7" t="str">
        <f>HYPERLINK("https://twitter.com/resonanciasocia","@resonanciasocia")</f>
        <v>@resonanciasocia</v>
      </c>
      <c r="C1141" s="8" t="s">
        <v>2880</v>
      </c>
      <c r="D1141" s="9" t="s">
        <v>2881</v>
      </c>
      <c r="E1141" s="10" t="str">
        <f>HYPERLINK("https://twitter.com/resonanciasocia/status/1065272258854305792","1065272258854305792")</f>
        <v>1065272258854305792</v>
      </c>
      <c r="F1141" s="12"/>
      <c r="G1141" s="11" t="s">
        <v>2883</v>
      </c>
      <c r="H1141" s="12"/>
      <c r="I1141" s="13">
        <v>0</v>
      </c>
      <c r="J1141" s="13">
        <v>0</v>
      </c>
      <c r="K1141" s="14" t="str">
        <f>HYPERLINK("http://twitter.com/download/android","Twitter for Android")</f>
        <v>Twitter for Android</v>
      </c>
      <c r="L1141" s="13">
        <v>210</v>
      </c>
      <c r="M1141" s="13">
        <v>190</v>
      </c>
      <c r="N1141" s="13">
        <v>8</v>
      </c>
      <c r="O1141" s="15"/>
      <c r="P1141" s="6">
        <v>41112.885810185187</v>
      </c>
      <c r="Q1141" s="16" t="s">
        <v>2885</v>
      </c>
      <c r="R1141" s="17" t="s">
        <v>2886</v>
      </c>
      <c r="S1141" s="11" t="s">
        <v>2887</v>
      </c>
      <c r="T1141" s="12"/>
      <c r="U1141" s="10" t="str">
        <f>HYPERLINK("https://pbs.twimg.com/profile_images/999796871760498689/rynhHs67.jpg","View")</f>
        <v>View</v>
      </c>
    </row>
    <row r="1142" spans="1:21" ht="61.2">
      <c r="A1142" s="6">
        <v>43425.703541666662</v>
      </c>
      <c r="B1142" s="7" t="str">
        <f>HYPERLINK("https://twitter.com/ManoloDauro","@ManoloDauro")</f>
        <v>@ManoloDauro</v>
      </c>
      <c r="C1142" s="8" t="s">
        <v>5851</v>
      </c>
      <c r="D1142" s="9" t="s">
        <v>5852</v>
      </c>
      <c r="E1142" s="10" t="str">
        <f>HYPERLINK("https://twitter.com/ManoloDauro/status/1065271895468187648","1065271895468187648")</f>
        <v>1065271895468187648</v>
      </c>
      <c r="F1142" s="16" t="s">
        <v>5853</v>
      </c>
      <c r="G1142" s="11" t="s">
        <v>5855</v>
      </c>
      <c r="H1142" s="12"/>
      <c r="I1142" s="13">
        <v>0</v>
      </c>
      <c r="J1142" s="13">
        <v>0</v>
      </c>
      <c r="K1142" s="14" t="str">
        <f t="shared" ref="K1142:K1144" si="239">HYPERLINK("http://twitter.com","Twitter Web Client")</f>
        <v>Twitter Web Client</v>
      </c>
      <c r="L1142" s="13">
        <v>460</v>
      </c>
      <c r="M1142" s="13">
        <v>382</v>
      </c>
      <c r="N1142" s="13">
        <v>14</v>
      </c>
      <c r="O1142" s="15"/>
      <c r="P1142" s="6">
        <v>40699.724363425928</v>
      </c>
      <c r="Q1142" s="12"/>
      <c r="R1142" s="17" t="s">
        <v>5857</v>
      </c>
      <c r="S1142" s="12"/>
      <c r="T1142" s="12"/>
      <c r="U1142" s="10" t="str">
        <f>HYPERLINK("https://pbs.twimg.com/profile_images/1000402228585336832/sNK4RtHN.jpg","View")</f>
        <v>View</v>
      </c>
    </row>
    <row r="1143" spans="1:21" ht="40.799999999999997">
      <c r="A1143" s="6">
        <v>43425.70144675926</v>
      </c>
      <c r="B1143" s="7" t="str">
        <f>HYPERLINK("https://twitter.com/mariano9605","@mariano9605")</f>
        <v>@mariano9605</v>
      </c>
      <c r="C1143" s="8" t="s">
        <v>5858</v>
      </c>
      <c r="D1143" s="9" t="s">
        <v>5859</v>
      </c>
      <c r="E1143" s="10" t="str">
        <f>HYPERLINK("https://twitter.com/mariano9605/status/1065271138727669760","1065271138727669760")</f>
        <v>1065271138727669760</v>
      </c>
      <c r="F1143" s="11" t="s">
        <v>557</v>
      </c>
      <c r="G1143" s="12"/>
      <c r="H1143" s="12"/>
      <c r="I1143" s="13">
        <v>4</v>
      </c>
      <c r="J1143" s="13">
        <v>3</v>
      </c>
      <c r="K1143" s="14" t="str">
        <f t="shared" si="239"/>
        <v>Twitter Web Client</v>
      </c>
      <c r="L1143" s="13">
        <v>56150</v>
      </c>
      <c r="M1143" s="13">
        <v>53994</v>
      </c>
      <c r="N1143" s="13">
        <v>303</v>
      </c>
      <c r="O1143" s="15"/>
      <c r="P1143" s="6">
        <v>40869.915659722225</v>
      </c>
      <c r="Q1143" s="16" t="s">
        <v>225</v>
      </c>
      <c r="R1143" s="17" t="s">
        <v>5862</v>
      </c>
      <c r="S1143" s="12"/>
      <c r="T1143" s="12"/>
      <c r="U1143" s="10" t="str">
        <f>HYPERLINK("https://pbs.twimg.com/profile_images/427860629525757952/ohW7e5Pf.jpeg","View")</f>
        <v>View</v>
      </c>
    </row>
    <row r="1144" spans="1:21" ht="40.799999999999997">
      <c r="A1144" s="6">
        <v>43425.700856481482</v>
      </c>
      <c r="B1144" s="7" t="str">
        <f>HYPERLINK("https://twitter.com/RTVE_Com","@RTVE_Com")</f>
        <v>@RTVE_Com</v>
      </c>
      <c r="C1144" s="8" t="s">
        <v>71</v>
      </c>
      <c r="D1144" s="9" t="s">
        <v>72</v>
      </c>
      <c r="E1144" s="10" t="str">
        <f>HYPERLINK("https://twitter.com/RTVE_Com/status/1065270923027189761","1065270923027189761")</f>
        <v>1065270923027189761</v>
      </c>
      <c r="F1144" s="11" t="s">
        <v>73</v>
      </c>
      <c r="G1144" s="11" t="s">
        <v>74</v>
      </c>
      <c r="H1144" s="12"/>
      <c r="I1144" s="13">
        <v>1</v>
      </c>
      <c r="J1144" s="13">
        <v>2</v>
      </c>
      <c r="K1144" s="14" t="str">
        <f t="shared" si="239"/>
        <v>Twitter Web Client</v>
      </c>
      <c r="L1144" s="13">
        <v>34050</v>
      </c>
      <c r="M1144" s="13">
        <v>538</v>
      </c>
      <c r="N1144" s="13">
        <v>230</v>
      </c>
      <c r="O1144" s="18" t="s">
        <v>36</v>
      </c>
      <c r="P1144" s="6">
        <v>42024.566990740743</v>
      </c>
      <c r="Q1144" s="12"/>
      <c r="R1144" s="17" t="s">
        <v>78</v>
      </c>
      <c r="S1144" s="11" t="s">
        <v>79</v>
      </c>
      <c r="T1144" s="12"/>
      <c r="U1144" s="10" t="str">
        <f>HYPERLINK("https://pbs.twimg.com/profile_images/558234140189794305/Monu2UW4.jpeg","View")</f>
        <v>View</v>
      </c>
    </row>
    <row r="1145" spans="1:21" ht="30.6">
      <c r="A1145" s="6">
        <v>43425.70003472222</v>
      </c>
      <c r="B1145" s="7" t="str">
        <f t="shared" ref="B1145:B1146" si="240">HYPERLINK("https://twitter.com/abuelodefelipe","@abuelodefelipe")</f>
        <v>@abuelodefelipe</v>
      </c>
      <c r="C1145" s="8" t="s">
        <v>5868</v>
      </c>
      <c r="D1145" s="9" t="s">
        <v>5869</v>
      </c>
      <c r="E1145" s="10" t="str">
        <f>HYPERLINK("https://twitter.com/abuelodefelipe/status/1065270625923518465","1065270625923518465")</f>
        <v>1065270625923518465</v>
      </c>
      <c r="F1145" s="11" t="s">
        <v>5870</v>
      </c>
      <c r="G1145" s="12"/>
      <c r="H1145" s="12"/>
      <c r="I1145" s="13">
        <v>0</v>
      </c>
      <c r="J1145" s="13">
        <v>0</v>
      </c>
      <c r="K1145" s="14" t="str">
        <f>HYPERLINK("https://www.google.com/","Google")</f>
        <v>Google</v>
      </c>
      <c r="L1145" s="13">
        <v>1428</v>
      </c>
      <c r="M1145" s="13">
        <v>2144</v>
      </c>
      <c r="N1145" s="13">
        <v>17</v>
      </c>
      <c r="O1145" s="15"/>
      <c r="P1145" s="6">
        <v>40264.489039351851</v>
      </c>
      <c r="Q1145" s="16" t="s">
        <v>5873</v>
      </c>
      <c r="R1145" s="17" t="s">
        <v>5874</v>
      </c>
      <c r="S1145" s="11" t="s">
        <v>5875</v>
      </c>
      <c r="T1145" s="12"/>
      <c r="U1145" s="10" t="str">
        <f t="shared" ref="U1145:U1146" si="241">HYPERLINK("https://pbs.twimg.com/profile_images/1063506935373275136/eN8n5ZF6.jpg","View")</f>
        <v>View</v>
      </c>
    </row>
    <row r="1146" spans="1:21" ht="30.6">
      <c r="A1146" s="6">
        <v>43425.698981481481</v>
      </c>
      <c r="B1146" s="7" t="str">
        <f t="shared" si="240"/>
        <v>@abuelodefelipe</v>
      </c>
      <c r="C1146" s="8" t="s">
        <v>5868</v>
      </c>
      <c r="D1146" s="9" t="s">
        <v>5877</v>
      </c>
      <c r="E1146" s="10" t="str">
        <f>HYPERLINK("https://twitter.com/abuelodefelipe/status/1065270242123890694","1065270242123890694")</f>
        <v>1065270242123890694</v>
      </c>
      <c r="F1146" s="11" t="s">
        <v>1228</v>
      </c>
      <c r="G1146" s="12"/>
      <c r="H1146" s="12"/>
      <c r="I1146" s="13">
        <v>2</v>
      </c>
      <c r="J1146" s="13">
        <v>0</v>
      </c>
      <c r="K1146" s="14" t="str">
        <f>HYPERLINK("http://www.facebook.com/twitter","Facebook")</f>
        <v>Facebook</v>
      </c>
      <c r="L1146" s="13">
        <v>1428</v>
      </c>
      <c r="M1146" s="13">
        <v>2144</v>
      </c>
      <c r="N1146" s="13">
        <v>17</v>
      </c>
      <c r="O1146" s="15"/>
      <c r="P1146" s="6">
        <v>40264.489039351851</v>
      </c>
      <c r="Q1146" s="16" t="s">
        <v>5873</v>
      </c>
      <c r="R1146" s="17" t="s">
        <v>5874</v>
      </c>
      <c r="S1146" s="11" t="s">
        <v>5875</v>
      </c>
      <c r="T1146" s="12"/>
      <c r="U1146" s="10" t="str">
        <f t="shared" si="241"/>
        <v>View</v>
      </c>
    </row>
    <row r="1147" spans="1:21" ht="91.8">
      <c r="A1147" s="6">
        <v>43425.697118055556</v>
      </c>
      <c r="B1147" s="7" t="str">
        <f>HYPERLINK("https://twitter.com/SergiogmSergio","@SergiogmSergio")</f>
        <v>@SergiogmSergio</v>
      </c>
      <c r="C1147" s="8" t="s">
        <v>2894</v>
      </c>
      <c r="D1147" s="9" t="s">
        <v>2895</v>
      </c>
      <c r="E1147" s="10" t="str">
        <f>HYPERLINK("https://twitter.com/SergiogmSergio/status/1065269566572560384","1065269566572560384")</f>
        <v>1065269566572560384</v>
      </c>
      <c r="F1147" s="16" t="s">
        <v>2896</v>
      </c>
      <c r="G1147" s="11" t="s">
        <v>2897</v>
      </c>
      <c r="H1147" s="12"/>
      <c r="I1147" s="13">
        <v>0</v>
      </c>
      <c r="J1147" s="13">
        <v>0</v>
      </c>
      <c r="K1147" s="14" t="str">
        <f>HYPERLINK("http://twitter.com/download/iphone","Twitter for iPhone")</f>
        <v>Twitter for iPhone</v>
      </c>
      <c r="L1147" s="13">
        <v>108</v>
      </c>
      <c r="M1147" s="13">
        <v>290</v>
      </c>
      <c r="N1147" s="13">
        <v>0</v>
      </c>
      <c r="O1147" s="15"/>
      <c r="P1147" s="6">
        <v>42071.631851851853</v>
      </c>
      <c r="Q1147" s="12"/>
      <c r="R1147" s="17" t="s">
        <v>2898</v>
      </c>
      <c r="S1147" s="12"/>
      <c r="T1147" s="12"/>
      <c r="U1147" s="10" t="str">
        <f>HYPERLINK("https://pbs.twimg.com/profile_images/759914683843252224/gGYuI175.jpg","View")</f>
        <v>View</v>
      </c>
    </row>
    <row r="1148" spans="1:21" ht="40.799999999999997">
      <c r="A1148" s="6">
        <v>43425.694895833338</v>
      </c>
      <c r="B1148" s="7" t="str">
        <f>HYPERLINK("https://twitter.com/jug0n","@jug0n")</f>
        <v>@jug0n</v>
      </c>
      <c r="C1148" s="8" t="s">
        <v>2901</v>
      </c>
      <c r="D1148" s="9" t="s">
        <v>2902</v>
      </c>
      <c r="E1148" s="10" t="str">
        <f>HYPERLINK("https://twitter.com/jug0n/status/1065268763166220289","1065268763166220289")</f>
        <v>1065268763166220289</v>
      </c>
      <c r="F1148" s="12"/>
      <c r="G1148" s="12"/>
      <c r="H1148" s="12"/>
      <c r="I1148" s="13">
        <v>0</v>
      </c>
      <c r="J1148" s="13">
        <v>0</v>
      </c>
      <c r="K1148" s="14" t="str">
        <f>HYPERLINK("https://about.twitter.com/products/tweetdeck","TweetDeck")</f>
        <v>TweetDeck</v>
      </c>
      <c r="L1148" s="13">
        <v>346</v>
      </c>
      <c r="M1148" s="13">
        <v>342</v>
      </c>
      <c r="N1148" s="13">
        <v>10</v>
      </c>
      <c r="O1148" s="15"/>
      <c r="P1148" s="6">
        <v>40134.686168981483</v>
      </c>
      <c r="Q1148" s="16" t="s">
        <v>75</v>
      </c>
      <c r="R1148" s="17" t="s">
        <v>2905</v>
      </c>
      <c r="S1148" s="12"/>
      <c r="T1148" s="12"/>
      <c r="U1148" s="10" t="str">
        <f>HYPERLINK("https://pbs.twimg.com/profile_images/1065012489803448320/8s9IeYth.jpg","View")</f>
        <v>View</v>
      </c>
    </row>
    <row r="1149" spans="1:21" ht="40.799999999999997">
      <c r="A1149" s="6">
        <v>43425.69462962963</v>
      </c>
      <c r="B1149" s="7" t="str">
        <f>HYPERLINK("https://twitter.com/CsCarabanchel","@CsCarabanchel")</f>
        <v>@CsCarabanchel</v>
      </c>
      <c r="C1149" s="8" t="s">
        <v>2906</v>
      </c>
      <c r="D1149" s="9" t="s">
        <v>2907</v>
      </c>
      <c r="E1149" s="10" t="str">
        <f>HYPERLINK("https://twitter.com/CsCarabanchel/status/1065268665313042434","1065268665313042434")</f>
        <v>1065268665313042434</v>
      </c>
      <c r="F1149" s="11" t="s">
        <v>2908</v>
      </c>
      <c r="G1149" s="12"/>
      <c r="H1149" s="12"/>
      <c r="I1149" s="13">
        <v>5</v>
      </c>
      <c r="J1149" s="13">
        <v>3</v>
      </c>
      <c r="K1149" s="14" t="str">
        <f>HYPERLINK("http://twitter.com/download/android","Twitter for Android")</f>
        <v>Twitter for Android</v>
      </c>
      <c r="L1149" s="13">
        <v>2777</v>
      </c>
      <c r="M1149" s="13">
        <v>248</v>
      </c>
      <c r="N1149" s="13">
        <v>34</v>
      </c>
      <c r="O1149" s="15"/>
      <c r="P1149" s="6">
        <v>42290.749930555554</v>
      </c>
      <c r="Q1149" s="12"/>
      <c r="R1149" s="17" t="s">
        <v>2909</v>
      </c>
      <c r="S1149" s="11" t="s">
        <v>1880</v>
      </c>
      <c r="T1149" s="12"/>
      <c r="U1149" s="10" t="str">
        <f>HYPERLINK("https://pbs.twimg.com/profile_images/899562690628157441/NezTBybx.jpg","View")</f>
        <v>View</v>
      </c>
    </row>
    <row r="1150" spans="1:21" ht="61.2">
      <c r="A1150" s="6">
        <v>43425.694490740745</v>
      </c>
      <c r="B1150" s="7" t="str">
        <f>HYPERLINK("https://twitter.com/Albert_Rivera","@Albert_Rivera")</f>
        <v>@Albert_Rivera</v>
      </c>
      <c r="C1150" s="8" t="s">
        <v>389</v>
      </c>
      <c r="D1150" s="9" t="s">
        <v>5890</v>
      </c>
      <c r="E1150" s="10" t="str">
        <f>HYPERLINK("https://twitter.com/Albert_Rivera/status/1065268615497293826","1065268615497293826")</f>
        <v>1065268615497293826</v>
      </c>
      <c r="F1150" s="16" t="s">
        <v>5891</v>
      </c>
      <c r="G1150" s="11" t="s">
        <v>5892</v>
      </c>
      <c r="H1150" s="12"/>
      <c r="I1150" s="13">
        <v>2346</v>
      </c>
      <c r="J1150" s="13">
        <v>4296</v>
      </c>
      <c r="K1150" s="14" t="str">
        <f>HYPERLINK("http://twitter.com/download/iphone","Twitter for iPhone")</f>
        <v>Twitter for iPhone</v>
      </c>
      <c r="L1150" s="13">
        <v>1071530</v>
      </c>
      <c r="M1150" s="13">
        <v>2545</v>
      </c>
      <c r="N1150" s="13">
        <v>5104</v>
      </c>
      <c r="O1150" s="18" t="s">
        <v>36</v>
      </c>
      <c r="P1150" s="6">
        <v>40205.748171296298</v>
      </c>
      <c r="Q1150" s="16" t="s">
        <v>37</v>
      </c>
      <c r="R1150" s="17" t="s">
        <v>393</v>
      </c>
      <c r="S1150" s="11" t="s">
        <v>394</v>
      </c>
      <c r="T1150" s="12"/>
      <c r="U1150" s="10" t="str">
        <f>HYPERLINK("https://pbs.twimg.com/profile_images/1030708936779988993/RncDM4EZ.jpg","View")</f>
        <v>View</v>
      </c>
    </row>
    <row r="1151" spans="1:21" ht="40.799999999999997">
      <c r="A1151" s="6">
        <v>43425.693981481483</v>
      </c>
      <c r="B1151" s="7" t="str">
        <f>HYPERLINK("https://twitter.com/Rous77377853","@Rous77377853")</f>
        <v>@Rous77377853</v>
      </c>
      <c r="C1151" s="8" t="s">
        <v>5898</v>
      </c>
      <c r="D1151" s="9" t="s">
        <v>5899</v>
      </c>
      <c r="E1151" s="10" t="str">
        <f>HYPERLINK("https://twitter.com/Rous77377853/status/1065268432311078912","1065268432311078912")</f>
        <v>1065268432311078912</v>
      </c>
      <c r="F1151" s="11" t="s">
        <v>2449</v>
      </c>
      <c r="G1151" s="12"/>
      <c r="H1151" s="12"/>
      <c r="I1151" s="13">
        <v>0</v>
      </c>
      <c r="J1151" s="13">
        <v>0</v>
      </c>
      <c r="K1151" s="14" t="str">
        <f>HYPERLINK("http://twitter.com/download/android","Twitter for Android")</f>
        <v>Twitter for Android</v>
      </c>
      <c r="L1151" s="13">
        <v>1630</v>
      </c>
      <c r="M1151" s="13">
        <v>1606</v>
      </c>
      <c r="N1151" s="13">
        <v>6</v>
      </c>
      <c r="O1151" s="15"/>
      <c r="P1151" s="6">
        <v>42761.68540509259</v>
      </c>
      <c r="Q1151" s="12"/>
      <c r="R1151" s="17" t="s">
        <v>5903</v>
      </c>
      <c r="S1151" s="12"/>
      <c r="T1151" s="12"/>
      <c r="U1151" s="10" t="str">
        <f>HYPERLINK("https://pbs.twimg.com/profile_images/1033648984324227072/FGDdCYTJ.jpg","View")</f>
        <v>View</v>
      </c>
    </row>
    <row r="1152" spans="1:21" ht="51">
      <c r="A1152" s="6">
        <v>43425.692488425921</v>
      </c>
      <c r="B1152" s="7" t="str">
        <f>HYPERLINK("https://twitter.com/Saramurcia","@Saramurcia")</f>
        <v>@Saramurcia</v>
      </c>
      <c r="C1152" s="8" t="s">
        <v>2911</v>
      </c>
      <c r="D1152" s="9" t="s">
        <v>2912</v>
      </c>
      <c r="E1152" s="10" t="str">
        <f>HYPERLINK("https://twitter.com/Saramurcia/status/1065267891858272257","1065267891858272257")</f>
        <v>1065267891858272257</v>
      </c>
      <c r="F1152" s="16" t="s">
        <v>64</v>
      </c>
      <c r="G1152" s="11" t="s">
        <v>65</v>
      </c>
      <c r="H1152" s="12"/>
      <c r="I1152" s="13">
        <v>6</v>
      </c>
      <c r="J1152" s="13">
        <v>3</v>
      </c>
      <c r="K1152" s="14" t="str">
        <f>HYPERLINK("http://twitter.com/download/iphone","Twitter for iPhone")</f>
        <v>Twitter for iPhone</v>
      </c>
      <c r="L1152" s="13">
        <v>3536</v>
      </c>
      <c r="M1152" s="13">
        <v>3660</v>
      </c>
      <c r="N1152" s="13">
        <v>50</v>
      </c>
      <c r="O1152" s="15"/>
      <c r="P1152" s="6">
        <v>40000.341134259259</v>
      </c>
      <c r="Q1152" s="16" t="s">
        <v>37</v>
      </c>
      <c r="R1152" s="17" t="s">
        <v>2914</v>
      </c>
      <c r="S1152" s="11" t="s">
        <v>2915</v>
      </c>
      <c r="T1152" s="12"/>
      <c r="U1152" s="10" t="str">
        <f>HYPERLINK("https://pbs.twimg.com/profile_images/743354671595585536/iIi9-QNu.jpg","View")</f>
        <v>View</v>
      </c>
    </row>
    <row r="1153" spans="1:21" ht="40.799999999999997">
      <c r="A1153" s="6">
        <v>43425.688668981486</v>
      </c>
      <c r="B1153" s="7" t="str">
        <f>HYPERLINK("https://twitter.com/Xuxatronnn","@Xuxatronnn")</f>
        <v>@Xuxatronnn</v>
      </c>
      <c r="C1153" s="8" t="s">
        <v>3221</v>
      </c>
      <c r="D1153" s="9" t="s">
        <v>5907</v>
      </c>
      <c r="E1153" s="10" t="str">
        <f>HYPERLINK("https://twitter.com/Xuxatronnn/status/1065266507318468608","1065266507318468608")</f>
        <v>1065266507318468608</v>
      </c>
      <c r="F1153" s="12"/>
      <c r="G1153" s="12"/>
      <c r="H1153" s="12"/>
      <c r="I1153" s="13">
        <v>13</v>
      </c>
      <c r="J1153" s="13">
        <v>24</v>
      </c>
      <c r="K1153" s="14" t="str">
        <f>HYPERLINK("http://twitter.com/download/android","Twitter for Android")</f>
        <v>Twitter for Android</v>
      </c>
      <c r="L1153" s="13">
        <v>969</v>
      </c>
      <c r="M1153" s="13">
        <v>916</v>
      </c>
      <c r="N1153" s="13">
        <v>11</v>
      </c>
      <c r="O1153" s="15"/>
      <c r="P1153" s="6">
        <v>42490.89707175926</v>
      </c>
      <c r="Q1153" s="12"/>
      <c r="R1153" s="17" t="s">
        <v>3226</v>
      </c>
      <c r="S1153" s="12"/>
      <c r="T1153" s="12"/>
      <c r="U1153" s="10" t="str">
        <f>HYPERLINK("https://pbs.twimg.com/profile_images/914584332815224835/YbW49TKK.jpg","View")</f>
        <v>View</v>
      </c>
    </row>
    <row r="1154" spans="1:21" ht="20.399999999999999">
      <c r="A1154" s="6">
        <v>43425.687604166669</v>
      </c>
      <c r="B1154" s="7" t="str">
        <f>HYPERLINK("https://twitter.com/Chago1LUIS","@Chago1LUIS")</f>
        <v>@Chago1LUIS</v>
      </c>
      <c r="C1154" s="8" t="s">
        <v>5913</v>
      </c>
      <c r="D1154" s="9" t="s">
        <v>1697</v>
      </c>
      <c r="E1154" s="10" t="str">
        <f>HYPERLINK("https://twitter.com/Chago1LUIS/status/1065266122084286464","1065266122084286464")</f>
        <v>1065266122084286464</v>
      </c>
      <c r="F1154" s="11" t="s">
        <v>1700</v>
      </c>
      <c r="G1154" s="12"/>
      <c r="H1154" s="12"/>
      <c r="I1154" s="13">
        <v>0</v>
      </c>
      <c r="J1154" s="13">
        <v>0</v>
      </c>
      <c r="K1154" s="14" t="str">
        <f>HYPERLINK("http://twitter.com","Twitter Web Client")</f>
        <v>Twitter Web Client</v>
      </c>
      <c r="L1154" s="13">
        <v>425</v>
      </c>
      <c r="M1154" s="13">
        <v>2266</v>
      </c>
      <c r="N1154" s="13">
        <v>6</v>
      </c>
      <c r="O1154" s="15"/>
      <c r="P1154" s="6">
        <v>41020.45275462963</v>
      </c>
      <c r="Q1154" s="12"/>
      <c r="R1154" s="19"/>
      <c r="S1154" s="12"/>
      <c r="T1154" s="12"/>
      <c r="U1154" s="18" t="s">
        <v>559</v>
      </c>
    </row>
    <row r="1155" spans="1:21" ht="61.2">
      <c r="A1155" s="6">
        <v>43425.68614583333</v>
      </c>
      <c r="B1155" s="7" t="str">
        <f>HYPERLINK("https://twitter.com/joanmg93","@joanmg93")</f>
        <v>@joanmg93</v>
      </c>
      <c r="C1155" s="8" t="s">
        <v>5918</v>
      </c>
      <c r="D1155" s="9" t="s">
        <v>5919</v>
      </c>
      <c r="E1155" s="10" t="str">
        <f>HYPERLINK("https://twitter.com/joanmg93/status/1065265591626465281","1065265591626465281")</f>
        <v>1065265591626465281</v>
      </c>
      <c r="F1155" s="12"/>
      <c r="G1155" s="11" t="s">
        <v>5920</v>
      </c>
      <c r="H1155" s="12"/>
      <c r="I1155" s="13">
        <v>1</v>
      </c>
      <c r="J1155" s="13">
        <v>1</v>
      </c>
      <c r="K1155" s="14" t="str">
        <f>HYPERLINK("http://twitter.com/download/iphone","Twitter for iPhone")</f>
        <v>Twitter for iPhone</v>
      </c>
      <c r="L1155" s="13">
        <v>887</v>
      </c>
      <c r="M1155" s="13">
        <v>611</v>
      </c>
      <c r="N1155" s="13">
        <v>12</v>
      </c>
      <c r="O1155" s="15"/>
      <c r="P1155" s="6">
        <v>40809.583564814813</v>
      </c>
      <c r="Q1155" s="16" t="s">
        <v>5923</v>
      </c>
      <c r="R1155" s="17" t="s">
        <v>5924</v>
      </c>
      <c r="S1155" s="11" t="s">
        <v>5925</v>
      </c>
      <c r="T1155" s="12"/>
      <c r="U1155" s="10" t="str">
        <f>HYPERLINK("https://pbs.twimg.com/profile_images/948203190591414272/fQ5NVa_E.jpg","View")</f>
        <v>View</v>
      </c>
    </row>
    <row r="1156" spans="1:21" ht="51">
      <c r="A1156" s="6">
        <v>43425.685902777783</v>
      </c>
      <c r="B1156" s="7" t="str">
        <f>HYPERLINK("https://twitter.com/Cs_Madrid","@Cs_Madrid")</f>
        <v>@Cs_Madrid</v>
      </c>
      <c r="C1156" s="8" t="s">
        <v>2916</v>
      </c>
      <c r="D1156" s="9" t="s">
        <v>2917</v>
      </c>
      <c r="E1156" s="10" t="str">
        <f>HYPERLINK("https://twitter.com/Cs_Madrid/status/1065265503533481984","1065265503533481984")</f>
        <v>1065265503533481984</v>
      </c>
      <c r="F1156" s="12"/>
      <c r="G1156" s="11" t="s">
        <v>2918</v>
      </c>
      <c r="H1156" s="12"/>
      <c r="I1156" s="13">
        <v>12</v>
      </c>
      <c r="J1156" s="13">
        <v>13</v>
      </c>
      <c r="K1156" s="14" t="str">
        <f>HYPERLINK("https://studio.twitter.com","Media Studio")</f>
        <v>Media Studio</v>
      </c>
      <c r="L1156" s="13">
        <v>45841</v>
      </c>
      <c r="M1156" s="13">
        <v>4651</v>
      </c>
      <c r="N1156" s="13">
        <v>457</v>
      </c>
      <c r="O1156" s="18" t="s">
        <v>36</v>
      </c>
      <c r="P1156" s="6">
        <v>41347.871215277773</v>
      </c>
      <c r="Q1156" s="16" t="s">
        <v>2916</v>
      </c>
      <c r="R1156" s="17" t="s">
        <v>2919</v>
      </c>
      <c r="S1156" s="11" t="s">
        <v>2920</v>
      </c>
      <c r="T1156" s="12"/>
      <c r="U1156" s="10" t="str">
        <f>HYPERLINK("https://pbs.twimg.com/profile_images/1015885974017134593/kzase924.jpg","View")</f>
        <v>View</v>
      </c>
    </row>
    <row r="1157" spans="1:21" ht="40.799999999999997">
      <c r="A1157" s="6">
        <v>43425.685486111106</v>
      </c>
      <c r="B1157" s="7" t="str">
        <f>HYPERLINK("https://twitter.com/Carmelafresca21","@Carmelafresca21")</f>
        <v>@Carmelafresca21</v>
      </c>
      <c r="C1157" s="8" t="s">
        <v>2921</v>
      </c>
      <c r="D1157" s="9" t="s">
        <v>2922</v>
      </c>
      <c r="E1157" s="10" t="str">
        <f>HYPERLINK("https://twitter.com/Carmelafresca21/status/1065265353645834240","1065265353645834240")</f>
        <v>1065265353645834240</v>
      </c>
      <c r="F1157" s="12"/>
      <c r="G1157" s="12"/>
      <c r="H1157" s="12"/>
      <c r="I1157" s="13">
        <v>0</v>
      </c>
      <c r="J1157" s="13">
        <v>0</v>
      </c>
      <c r="K1157" s="14" t="str">
        <f>HYPERLINK("http://twitter.com/download/android","Twitter for Android")</f>
        <v>Twitter for Android</v>
      </c>
      <c r="L1157" s="13">
        <v>184</v>
      </c>
      <c r="M1157" s="13">
        <v>158</v>
      </c>
      <c r="N1157" s="13">
        <v>0</v>
      </c>
      <c r="O1157" s="15"/>
      <c r="P1157" s="6">
        <v>43041.924004629633</v>
      </c>
      <c r="Q1157" s="12"/>
      <c r="R1157" s="17" t="s">
        <v>2923</v>
      </c>
      <c r="S1157" s="12"/>
      <c r="T1157" s="12"/>
      <c r="U1157" s="10" t="str">
        <f>HYPERLINK("https://pbs.twimg.com/profile_images/985992659268403202/yMMaL8s_.jpg","View")</f>
        <v>View</v>
      </c>
    </row>
    <row r="1158" spans="1:21" ht="30.6">
      <c r="A1158" s="6">
        <v>43425.68478009259</v>
      </c>
      <c r="B1158" s="7" t="str">
        <f>HYPERLINK("https://twitter.com/Danialri","@Danialri")</f>
        <v>@Danialri</v>
      </c>
      <c r="C1158" s="8" t="s">
        <v>5935</v>
      </c>
      <c r="D1158" s="9" t="s">
        <v>5936</v>
      </c>
      <c r="E1158" s="10" t="str">
        <f>HYPERLINK("https://twitter.com/Danialri/status/1065265096333672449","1065265096333672449")</f>
        <v>1065265096333672449</v>
      </c>
      <c r="F1158" s="11" t="s">
        <v>2583</v>
      </c>
      <c r="G1158" s="12"/>
      <c r="H1158" s="12"/>
      <c r="I1158" s="13">
        <v>0</v>
      </c>
      <c r="J1158" s="13">
        <v>0</v>
      </c>
      <c r="K1158" s="14" t="str">
        <f>HYPERLINK("http://twitter.com","Twitter Web Client")</f>
        <v>Twitter Web Client</v>
      </c>
      <c r="L1158" s="13">
        <v>3485</v>
      </c>
      <c r="M1158" s="13">
        <v>570</v>
      </c>
      <c r="N1158" s="13">
        <v>58</v>
      </c>
      <c r="O1158" s="15"/>
      <c r="P1158" s="6">
        <v>40479.495196759257</v>
      </c>
      <c r="Q1158" s="12"/>
      <c r="R1158" s="17" t="s">
        <v>5938</v>
      </c>
      <c r="S1158" s="12"/>
      <c r="T1158" s="12"/>
      <c r="U1158" s="10" t="str">
        <f>HYPERLINK("https://pbs.twimg.com/profile_images/1023231297781727232/2me_a_1s.jpg","View")</f>
        <v>View</v>
      </c>
    </row>
    <row r="1159" spans="1:21" ht="40.799999999999997">
      <c r="A1159" s="6">
        <v>43425.684039351851</v>
      </c>
      <c r="B1159" s="7" t="str">
        <f>HYPERLINK("https://twitter.com/La_Cerca","@La_Cerca")</f>
        <v>@La_Cerca</v>
      </c>
      <c r="C1159" s="8" t="s">
        <v>167</v>
      </c>
      <c r="D1159" s="9" t="s">
        <v>2924</v>
      </c>
      <c r="E1159" s="10" t="str">
        <f>HYPERLINK("https://twitter.com/La_Cerca/status/1065264827835269120","1065264827835269120")</f>
        <v>1065264827835269120</v>
      </c>
      <c r="F1159" s="11" t="s">
        <v>2925</v>
      </c>
      <c r="G1159" s="12"/>
      <c r="H1159" s="12"/>
      <c r="I1159" s="13">
        <v>0</v>
      </c>
      <c r="J1159" s="13">
        <v>0</v>
      </c>
      <c r="K1159" s="14" t="str">
        <f>HYPERLINK("http://www.lacerca.com","La Cerca")</f>
        <v>La Cerca</v>
      </c>
      <c r="L1159" s="13">
        <v>18963</v>
      </c>
      <c r="M1159" s="13">
        <v>4967</v>
      </c>
      <c r="N1159" s="13">
        <v>336</v>
      </c>
      <c r="O1159" s="18" t="s">
        <v>36</v>
      </c>
      <c r="P1159" s="6">
        <v>40007.429652777777</v>
      </c>
      <c r="Q1159" s="16" t="s">
        <v>171</v>
      </c>
      <c r="R1159" s="17" t="s">
        <v>172</v>
      </c>
      <c r="S1159" s="11" t="s">
        <v>173</v>
      </c>
      <c r="T1159" s="12"/>
      <c r="U1159" s="10" t="str">
        <f>HYPERLINK("https://pbs.twimg.com/profile_images/1046758213843111937/MFsiNfy0.jpg","View")</f>
        <v>View</v>
      </c>
    </row>
    <row r="1160" spans="1:21" ht="40.799999999999997">
      <c r="A1160" s="6">
        <v>43425.682824074072</v>
      </c>
      <c r="B1160" s="7" t="str">
        <f>HYPERLINK("https://twitter.com/cookie_alv","@cookie_alv")</f>
        <v>@cookie_alv</v>
      </c>
      <c r="C1160" s="8" t="s">
        <v>5944</v>
      </c>
      <c r="D1160" s="9" t="s">
        <v>5945</v>
      </c>
      <c r="E1160" s="10" t="str">
        <f>HYPERLINK("https://twitter.com/cookie_alv/status/1065264387005603843","1065264387005603843")</f>
        <v>1065264387005603843</v>
      </c>
      <c r="F1160" s="11" t="s">
        <v>5946</v>
      </c>
      <c r="G1160" s="11" t="s">
        <v>5947</v>
      </c>
      <c r="H1160" s="12"/>
      <c r="I1160" s="13">
        <v>0</v>
      </c>
      <c r="J1160" s="13">
        <v>1</v>
      </c>
      <c r="K1160" s="14" t="str">
        <f>HYPERLINK("http://twitter.com/download/android","Twitter for Android")</f>
        <v>Twitter for Android</v>
      </c>
      <c r="L1160" s="13">
        <v>34</v>
      </c>
      <c r="M1160" s="13">
        <v>151</v>
      </c>
      <c r="N1160" s="13">
        <v>1</v>
      </c>
      <c r="O1160" s="15"/>
      <c r="P1160" s="6">
        <v>43194.482094907406</v>
      </c>
      <c r="Q1160" s="16" t="s">
        <v>848</v>
      </c>
      <c r="R1160" s="17" t="s">
        <v>5949</v>
      </c>
      <c r="S1160" s="12"/>
      <c r="T1160" s="12"/>
      <c r="U1160" s="10" t="str">
        <f>HYPERLINK("https://pbs.twimg.com/profile_images/1026874164077096960/VY6P9Smp.jpg","View")</f>
        <v>View</v>
      </c>
    </row>
    <row r="1161" spans="1:21" ht="40.799999999999997">
      <c r="A1161" s="6">
        <v>43425.682581018518</v>
      </c>
      <c r="B1161" s="7" t="str">
        <f>HYPERLINK("https://twitter.com/mariano9605","@mariano9605")</f>
        <v>@mariano9605</v>
      </c>
      <c r="C1161" s="8" t="s">
        <v>5858</v>
      </c>
      <c r="D1161" s="9" t="s">
        <v>5952</v>
      </c>
      <c r="E1161" s="10" t="str">
        <f>HYPERLINK("https://twitter.com/mariano9605/status/1065264299202043904","1065264299202043904")</f>
        <v>1065264299202043904</v>
      </c>
      <c r="F1161" s="11" t="s">
        <v>102</v>
      </c>
      <c r="G1161" s="12"/>
      <c r="H1161" s="12"/>
      <c r="I1161" s="13">
        <v>4</v>
      </c>
      <c r="J1161" s="13">
        <v>0</v>
      </c>
      <c r="K1161" s="14" t="str">
        <f>HYPERLINK("http://twitter.com","Twitter Web Client")</f>
        <v>Twitter Web Client</v>
      </c>
      <c r="L1161" s="13">
        <v>56150</v>
      </c>
      <c r="M1161" s="13">
        <v>53994</v>
      </c>
      <c r="N1161" s="13">
        <v>303</v>
      </c>
      <c r="O1161" s="15"/>
      <c r="P1161" s="6">
        <v>40869.915659722225</v>
      </c>
      <c r="Q1161" s="16" t="s">
        <v>225</v>
      </c>
      <c r="R1161" s="17" t="s">
        <v>5862</v>
      </c>
      <c r="S1161" s="12"/>
      <c r="T1161" s="12"/>
      <c r="U1161" s="10" t="str">
        <f>HYPERLINK("https://pbs.twimg.com/profile_images/427860629525757952/ohW7e5Pf.jpeg","View")</f>
        <v>View</v>
      </c>
    </row>
    <row r="1162" spans="1:21" ht="30.6">
      <c r="A1162" s="6">
        <v>43425.682199074072</v>
      </c>
      <c r="B1162" s="7" t="str">
        <f>HYPERLINK("https://twitter.com/hanndro","@hanndro")</f>
        <v>@hanndro</v>
      </c>
      <c r="C1162" s="8" t="s">
        <v>5436</v>
      </c>
      <c r="D1162" s="9" t="s">
        <v>5958</v>
      </c>
      <c r="E1162" s="10" t="str">
        <f>HYPERLINK("https://twitter.com/hanndro/status/1065264160810958848","1065264160810958848")</f>
        <v>1065264160810958848</v>
      </c>
      <c r="F1162" s="11" t="s">
        <v>5959</v>
      </c>
      <c r="G1162" s="11" t="s">
        <v>5960</v>
      </c>
      <c r="H1162" s="12"/>
      <c r="I1162" s="13">
        <v>1</v>
      </c>
      <c r="J1162" s="13">
        <v>1</v>
      </c>
      <c r="K1162" s="14" t="str">
        <f t="shared" ref="K1162:K1163" si="242">HYPERLINK("http://twitter.com/download/android","Twitter for Android")</f>
        <v>Twitter for Android</v>
      </c>
      <c r="L1162" s="13">
        <v>142</v>
      </c>
      <c r="M1162" s="13">
        <v>326</v>
      </c>
      <c r="N1162" s="13">
        <v>2</v>
      </c>
      <c r="O1162" s="15"/>
      <c r="P1162" s="6">
        <v>41022.919351851851</v>
      </c>
      <c r="Q1162" s="16" t="s">
        <v>189</v>
      </c>
      <c r="R1162" s="17" t="s">
        <v>5961</v>
      </c>
      <c r="S1162" s="12"/>
      <c r="T1162" s="12"/>
      <c r="U1162" s="10" t="str">
        <f>HYPERLINK("https://pbs.twimg.com/profile_images/1053626928438132736/792rSM6e.jpg","View")</f>
        <v>View</v>
      </c>
    </row>
    <row r="1163" spans="1:21" ht="30.6">
      <c r="A1163" s="6">
        <v>43425.678298611107</v>
      </c>
      <c r="B1163" s="7" t="str">
        <f>HYPERLINK("https://twitter.com/juanjoseroda","@juanjoseroda")</f>
        <v>@juanjoseroda</v>
      </c>
      <c r="C1163" s="8" t="s">
        <v>2931</v>
      </c>
      <c r="D1163" s="9" t="s">
        <v>2932</v>
      </c>
      <c r="E1163" s="10" t="str">
        <f>HYPERLINK("https://twitter.com/juanjoseroda/status/1065262747091378177","1065262747091378177")</f>
        <v>1065262747091378177</v>
      </c>
      <c r="F1163" s="12"/>
      <c r="G1163" s="11" t="s">
        <v>2933</v>
      </c>
      <c r="H1163" s="12"/>
      <c r="I1163" s="13">
        <v>6</v>
      </c>
      <c r="J1163" s="13">
        <v>7</v>
      </c>
      <c r="K1163" s="14" t="str">
        <f t="shared" si="242"/>
        <v>Twitter for Android</v>
      </c>
      <c r="L1163" s="13">
        <v>3769</v>
      </c>
      <c r="M1163" s="13">
        <v>2573</v>
      </c>
      <c r="N1163" s="13">
        <v>30</v>
      </c>
      <c r="O1163" s="15"/>
      <c r="P1163" s="6">
        <v>40275.676226851851</v>
      </c>
      <c r="Q1163" s="12"/>
      <c r="R1163" s="17" t="s">
        <v>2935</v>
      </c>
      <c r="S1163" s="12"/>
      <c r="T1163" s="12"/>
      <c r="U1163" s="10" t="str">
        <f>HYPERLINK("https://pbs.twimg.com/profile_images/976582364519387136/aD9UBYIW.jpg","View")</f>
        <v>View</v>
      </c>
    </row>
    <row r="1164" spans="1:21" ht="20.399999999999999">
      <c r="A1164" s="6">
        <v>43425.676006944443</v>
      </c>
      <c r="B1164" s="7" t="str">
        <f>HYPERLINK("https://twitter.com/ratolidelespai","@ratolidelespai")</f>
        <v>@ratolidelespai</v>
      </c>
      <c r="C1164" s="8" t="s">
        <v>2936</v>
      </c>
      <c r="D1164" s="9" t="s">
        <v>2937</v>
      </c>
      <c r="E1164" s="10" t="str">
        <f>HYPERLINK("https://twitter.com/ratolidelespai/status/1065261916938018816","1065261916938018816")</f>
        <v>1065261916938018816</v>
      </c>
      <c r="F1164" s="12"/>
      <c r="G1164" s="12"/>
      <c r="H1164" s="12"/>
      <c r="I1164" s="13">
        <v>0</v>
      </c>
      <c r="J1164" s="13">
        <v>1</v>
      </c>
      <c r="K1164" s="14" t="str">
        <f>HYPERLINK("http://twitter.com/download/iphone","Twitter for iPhone")</f>
        <v>Twitter for iPhone</v>
      </c>
      <c r="L1164" s="13">
        <v>130</v>
      </c>
      <c r="M1164" s="13">
        <v>843</v>
      </c>
      <c r="N1164" s="13">
        <v>5</v>
      </c>
      <c r="O1164" s="15"/>
      <c r="P1164" s="6">
        <v>40949.791759259257</v>
      </c>
      <c r="Q1164" s="12"/>
      <c r="R1164" s="17" t="s">
        <v>2938</v>
      </c>
      <c r="S1164" s="12"/>
      <c r="T1164" s="12"/>
      <c r="U1164" s="10" t="str">
        <f>HYPERLINK("https://pbs.twimg.com/profile_images/1014123492118269957/YKSj1O1h.jpg","View")</f>
        <v>View</v>
      </c>
    </row>
    <row r="1165" spans="1:21" ht="30.6">
      <c r="A1165" s="6">
        <v>43425.67591435185</v>
      </c>
      <c r="B1165" s="7" t="str">
        <f>HYPERLINK("https://twitter.com/herreropedro","@herreropedro")</f>
        <v>@herreropedro</v>
      </c>
      <c r="C1165" s="8" t="s">
        <v>5975</v>
      </c>
      <c r="D1165" s="9" t="s">
        <v>5976</v>
      </c>
      <c r="E1165" s="10" t="str">
        <f>HYPERLINK("https://twitter.com/herreropedro/status/1065261886147575808","1065261886147575808")</f>
        <v>1065261886147575808</v>
      </c>
      <c r="F1165" s="11" t="s">
        <v>1700</v>
      </c>
      <c r="G1165" s="12"/>
      <c r="H1165" s="12"/>
      <c r="I1165" s="13">
        <v>1</v>
      </c>
      <c r="J1165" s="13">
        <v>3</v>
      </c>
      <c r="K1165" s="14" t="str">
        <f>HYPERLINK("http://twitter.com","Twitter Web Client")</f>
        <v>Twitter Web Client</v>
      </c>
      <c r="L1165" s="13">
        <v>3093</v>
      </c>
      <c r="M1165" s="13">
        <v>2900</v>
      </c>
      <c r="N1165" s="13">
        <v>59</v>
      </c>
      <c r="O1165" s="15"/>
      <c r="P1165" s="6">
        <v>39922.679108796292</v>
      </c>
      <c r="Q1165" s="16" t="s">
        <v>4332</v>
      </c>
      <c r="R1165" s="17" t="s">
        <v>5978</v>
      </c>
      <c r="S1165" s="12"/>
      <c r="T1165" s="12"/>
      <c r="U1165" s="10" t="str">
        <f>HYPERLINK("https://pbs.twimg.com/profile_images/952248512074473472/VAC3U_xC.jpg","View")</f>
        <v>View</v>
      </c>
    </row>
    <row r="1166" spans="1:21" ht="40.799999999999997">
      <c r="A1166" s="6">
        <v>43425.675254629634</v>
      </c>
      <c r="B1166" s="7" t="str">
        <f>HYPERLINK("https://twitter.com/LekaconK","@LekaconK")</f>
        <v>@LekaconK</v>
      </c>
      <c r="C1166" s="8" t="s">
        <v>430</v>
      </c>
      <c r="D1166" s="9" t="s">
        <v>5980</v>
      </c>
      <c r="E1166" s="10" t="str">
        <f>HYPERLINK("https://twitter.com/LekaconK/status/1065261647391010816","1065261647391010816")</f>
        <v>1065261647391010816</v>
      </c>
      <c r="F1166" s="12"/>
      <c r="G1166" s="11" t="s">
        <v>5981</v>
      </c>
      <c r="H1166" s="12"/>
      <c r="I1166" s="13">
        <v>63</v>
      </c>
      <c r="J1166" s="13">
        <v>96</v>
      </c>
      <c r="K1166" s="14" t="str">
        <f t="shared" ref="K1166:K1167" si="243">HYPERLINK("http://twitter.com/download/android","Twitter for Android")</f>
        <v>Twitter for Android</v>
      </c>
      <c r="L1166" s="13">
        <v>105346</v>
      </c>
      <c r="M1166" s="13">
        <v>55234</v>
      </c>
      <c r="N1166" s="13">
        <v>499</v>
      </c>
      <c r="O1166" s="15"/>
      <c r="P1166" s="6">
        <v>41651.585011574076</v>
      </c>
      <c r="Q1166" s="16" t="s">
        <v>434</v>
      </c>
      <c r="R1166" s="17" t="s">
        <v>435</v>
      </c>
      <c r="S1166" s="11" t="s">
        <v>436</v>
      </c>
      <c r="T1166" s="12"/>
      <c r="U1166" s="10" t="str">
        <f>HYPERLINK("https://pbs.twimg.com/profile_images/978390509071880192/dagJv_P2.jpg","View")</f>
        <v>View</v>
      </c>
    </row>
    <row r="1167" spans="1:21" ht="30.6">
      <c r="A1167" s="6">
        <v>43425.675150462965</v>
      </c>
      <c r="B1167" s="7" t="str">
        <f>HYPERLINK("https://twitter.com/danibm7","@danibm7")</f>
        <v>@danibm7</v>
      </c>
      <c r="C1167" s="8" t="s">
        <v>5984</v>
      </c>
      <c r="D1167" s="9" t="s">
        <v>5985</v>
      </c>
      <c r="E1167" s="10" t="str">
        <f>HYPERLINK("https://twitter.com/danibm7/status/1065261608761479168","1065261608761479168")</f>
        <v>1065261608761479168</v>
      </c>
      <c r="F1167" s="12"/>
      <c r="G1167" s="12"/>
      <c r="H1167" s="12"/>
      <c r="I1167" s="13">
        <v>0</v>
      </c>
      <c r="J1167" s="13">
        <v>2</v>
      </c>
      <c r="K1167" s="14" t="str">
        <f t="shared" si="243"/>
        <v>Twitter for Android</v>
      </c>
      <c r="L1167" s="13">
        <v>1084</v>
      </c>
      <c r="M1167" s="13">
        <v>726</v>
      </c>
      <c r="N1167" s="13">
        <v>13</v>
      </c>
      <c r="O1167" s="15"/>
      <c r="P1167" s="6">
        <v>40693.974722222221</v>
      </c>
      <c r="Q1167" s="16" t="s">
        <v>5988</v>
      </c>
      <c r="R1167" s="17" t="s">
        <v>5989</v>
      </c>
      <c r="S1167" s="12"/>
      <c r="T1167" s="12"/>
      <c r="U1167" s="10" t="str">
        <f>HYPERLINK("https://pbs.twimg.com/profile_images/1040171871692619776/I0LQei3E.jpg","View")</f>
        <v>View</v>
      </c>
    </row>
    <row r="1168" spans="1:21" ht="20.399999999999999">
      <c r="A1168" s="6">
        <v>43425.674293981487</v>
      </c>
      <c r="B1168" s="7" t="str">
        <f>HYPERLINK("https://twitter.com/110010010011010","@110010010011010")</f>
        <v>@110010010011010</v>
      </c>
      <c r="C1168" s="8" t="s">
        <v>5992</v>
      </c>
      <c r="D1168" s="9" t="s">
        <v>5993</v>
      </c>
      <c r="E1168" s="10" t="str">
        <f>HYPERLINK("https://twitter.com/110010010011010/status/1065261295719583750","1065261295719583750")</f>
        <v>1065261295719583750</v>
      </c>
      <c r="F1168" s="12"/>
      <c r="G1168" s="11" t="s">
        <v>5994</v>
      </c>
      <c r="H1168" s="12"/>
      <c r="I1168" s="13">
        <v>2</v>
      </c>
      <c r="J1168" s="13">
        <v>0</v>
      </c>
      <c r="K1168" s="14" t="str">
        <f>HYPERLINK("https://about.twitter.com/products/tweetdeck","TweetDeck")</f>
        <v>TweetDeck</v>
      </c>
      <c r="L1168" s="13">
        <v>9582</v>
      </c>
      <c r="M1168" s="13">
        <v>1573</v>
      </c>
      <c r="N1168" s="13">
        <v>259</v>
      </c>
      <c r="O1168" s="15"/>
      <c r="P1168" s="6">
        <v>40491.697685185187</v>
      </c>
      <c r="Q1168" s="16" t="s">
        <v>5995</v>
      </c>
      <c r="R1168" s="17" t="s">
        <v>5996</v>
      </c>
      <c r="S1168" s="12"/>
      <c r="T1168" s="12"/>
      <c r="U1168" s="10" t="str">
        <f>HYPERLINK("https://pbs.twimg.com/profile_images/1059042232492285952/qfOsejX9.jpg","View")</f>
        <v>View</v>
      </c>
    </row>
    <row r="1169" spans="1:21" ht="61.2">
      <c r="A1169" s="6">
        <v>43425.674027777779</v>
      </c>
      <c r="B1169" s="7" t="str">
        <f>HYPERLINK("https://twitter.com/davidmolero80","@davidmolero80")</f>
        <v>@davidmolero80</v>
      </c>
      <c r="C1169" s="8" t="s">
        <v>2939</v>
      </c>
      <c r="D1169" s="9" t="s">
        <v>2940</v>
      </c>
      <c r="E1169" s="10" t="str">
        <f>HYPERLINK("https://twitter.com/davidmolero80/status/1065261200743809024","1065261200743809024")</f>
        <v>1065261200743809024</v>
      </c>
      <c r="F1169" s="11" t="s">
        <v>2941</v>
      </c>
      <c r="G1169" s="12"/>
      <c r="H1169" s="12"/>
      <c r="I1169" s="13">
        <v>1</v>
      </c>
      <c r="J1169" s="13">
        <v>0</v>
      </c>
      <c r="K1169" s="14" t="str">
        <f>HYPERLINK("http://twitter.com/download/iphone","Twitter for iPhone")</f>
        <v>Twitter for iPhone</v>
      </c>
      <c r="L1169" s="13">
        <v>343</v>
      </c>
      <c r="M1169" s="13">
        <v>819</v>
      </c>
      <c r="N1169" s="13">
        <v>3</v>
      </c>
      <c r="O1169" s="15"/>
      <c r="P1169" s="6">
        <v>40598.673657407409</v>
      </c>
      <c r="Q1169" s="16" t="s">
        <v>2942</v>
      </c>
      <c r="R1169" s="17" t="s">
        <v>2943</v>
      </c>
      <c r="S1169" s="12"/>
      <c r="T1169" s="12"/>
      <c r="U1169" s="10" t="str">
        <f>HYPERLINK("https://pbs.twimg.com/profile_images/1310319461/david.jpg","View")</f>
        <v>View</v>
      </c>
    </row>
    <row r="1170" spans="1:21" ht="20.399999999999999">
      <c r="A1170" s="6">
        <v>43425.671400462961</v>
      </c>
      <c r="B1170" s="7" t="str">
        <f>HYPERLINK("https://twitter.com/picklerick07","@picklerick07")</f>
        <v>@picklerick07</v>
      </c>
      <c r="C1170" s="8" t="s">
        <v>6002</v>
      </c>
      <c r="D1170" s="9" t="s">
        <v>6004</v>
      </c>
      <c r="E1170" s="10" t="str">
        <f>HYPERLINK("https://twitter.com/picklerick07/status/1065260246841593856","1065260246841593856")</f>
        <v>1065260246841593856</v>
      </c>
      <c r="F1170" s="12"/>
      <c r="G1170" s="12"/>
      <c r="H1170" s="12"/>
      <c r="I1170" s="13">
        <v>0</v>
      </c>
      <c r="J1170" s="13">
        <v>0</v>
      </c>
      <c r="K1170" s="14" t="str">
        <f>HYPERLINK("http://twitter.com","Twitter Web Client")</f>
        <v>Twitter Web Client</v>
      </c>
      <c r="L1170" s="13">
        <v>105</v>
      </c>
      <c r="M1170" s="13">
        <v>272</v>
      </c>
      <c r="N1170" s="13">
        <v>0</v>
      </c>
      <c r="O1170" s="15"/>
      <c r="P1170" s="6">
        <v>43208.748703703706</v>
      </c>
      <c r="Q1170" s="12"/>
      <c r="R1170" s="17" t="s">
        <v>6007</v>
      </c>
      <c r="S1170" s="12"/>
      <c r="T1170" s="12"/>
      <c r="U1170" s="10" t="str">
        <f>HYPERLINK("https://pbs.twimg.com/profile_images/986865316251783168/o6S2s-Vo.jpg","View")</f>
        <v>View</v>
      </c>
    </row>
    <row r="1171" spans="1:21" ht="51">
      <c r="A1171" s="6">
        <v>43425.668506944443</v>
      </c>
      <c r="B1171" s="7" t="str">
        <f>HYPERLINK("https://twitter.com/Albert_Rivera","@Albert_Rivera")</f>
        <v>@Albert_Rivera</v>
      </c>
      <c r="C1171" s="8" t="s">
        <v>389</v>
      </c>
      <c r="D1171" s="9" t="s">
        <v>6010</v>
      </c>
      <c r="E1171" s="10" t="str">
        <f>HYPERLINK("https://twitter.com/Albert_Rivera/status/1065259201214275584","1065259201214275584")</f>
        <v>1065259201214275584</v>
      </c>
      <c r="F1171" s="11" t="s">
        <v>554</v>
      </c>
      <c r="G1171" s="12"/>
      <c r="H1171" s="12"/>
      <c r="I1171" s="13">
        <v>549</v>
      </c>
      <c r="J1171" s="13">
        <v>975</v>
      </c>
      <c r="K1171" s="14" t="str">
        <f>HYPERLINK("http://twitter.com/download/iphone","Twitter for iPhone")</f>
        <v>Twitter for iPhone</v>
      </c>
      <c r="L1171" s="13">
        <v>1071530</v>
      </c>
      <c r="M1171" s="13">
        <v>2545</v>
      </c>
      <c r="N1171" s="13">
        <v>5104</v>
      </c>
      <c r="O1171" s="18" t="s">
        <v>36</v>
      </c>
      <c r="P1171" s="6">
        <v>40205.748171296298</v>
      </c>
      <c r="Q1171" s="16" t="s">
        <v>37</v>
      </c>
      <c r="R1171" s="17" t="s">
        <v>393</v>
      </c>
      <c r="S1171" s="11" t="s">
        <v>394</v>
      </c>
      <c r="T1171" s="12"/>
      <c r="U1171" s="10" t="str">
        <f>HYPERLINK("https://pbs.twimg.com/profile_images/1030708936779988993/RncDM4EZ.jpg","View")</f>
        <v>View</v>
      </c>
    </row>
    <row r="1172" spans="1:21" ht="40.799999999999997">
      <c r="A1172" s="6">
        <v>43425.66805555555</v>
      </c>
      <c r="B1172" s="7" t="str">
        <f t="shared" ref="B1172:B1173" si="244">HYPERLINK("https://twitter.com/bitMomentum","@bitMomentum")</f>
        <v>@bitMomentum</v>
      </c>
      <c r="C1172" s="8" t="s">
        <v>706</v>
      </c>
      <c r="D1172" s="9" t="s">
        <v>2944</v>
      </c>
      <c r="E1172" s="10" t="str">
        <f>HYPERLINK("https://twitter.com/bitMomentum/status/1065259035124031489","1065259035124031489")</f>
        <v>1065259035124031489</v>
      </c>
      <c r="F1172" s="12"/>
      <c r="G1172" s="12"/>
      <c r="H1172" s="12"/>
      <c r="I1172" s="13">
        <v>0</v>
      </c>
      <c r="J1172" s="13">
        <v>0</v>
      </c>
      <c r="K1172" s="14" t="str">
        <f t="shared" ref="K1172:K1173" si="245">HYPERLINK("http://www.bitmomentum.com","bitMomentum Bot")</f>
        <v>bitMomentum Bot</v>
      </c>
      <c r="L1172" s="13">
        <v>10132</v>
      </c>
      <c r="M1172" s="13">
        <v>1060</v>
      </c>
      <c r="N1172" s="13">
        <v>262</v>
      </c>
      <c r="O1172" s="15"/>
      <c r="P1172" s="6">
        <v>41608.667511574073</v>
      </c>
      <c r="Q1172" s="12"/>
      <c r="R1172" s="17" t="s">
        <v>708</v>
      </c>
      <c r="S1172" s="11" t="s">
        <v>709</v>
      </c>
      <c r="T1172" s="12"/>
      <c r="U1172" s="10" t="str">
        <f t="shared" ref="U1172:U1173" si="246">HYPERLINK("https://pbs.twimg.com/profile_images/378800000862185241/20ij2H3u.png","View")</f>
        <v>View</v>
      </c>
    </row>
    <row r="1173" spans="1:21" ht="40.799999999999997">
      <c r="A1173" s="6">
        <v>43425.667361111111</v>
      </c>
      <c r="B1173" s="7" t="str">
        <f t="shared" si="244"/>
        <v>@bitMomentum</v>
      </c>
      <c r="C1173" s="8" t="s">
        <v>706</v>
      </c>
      <c r="D1173" s="9" t="s">
        <v>2949</v>
      </c>
      <c r="E1173" s="10" t="str">
        <f>HYPERLINK("https://twitter.com/bitMomentum/status/1065258783427969024","1065258783427969024")</f>
        <v>1065258783427969024</v>
      </c>
      <c r="F1173" s="12"/>
      <c r="G1173" s="12"/>
      <c r="H1173" s="12"/>
      <c r="I1173" s="13">
        <v>0</v>
      </c>
      <c r="J1173" s="13">
        <v>1</v>
      </c>
      <c r="K1173" s="14" t="str">
        <f t="shared" si="245"/>
        <v>bitMomentum Bot</v>
      </c>
      <c r="L1173" s="13">
        <v>10132</v>
      </c>
      <c r="M1173" s="13">
        <v>1060</v>
      </c>
      <c r="N1173" s="13">
        <v>262</v>
      </c>
      <c r="O1173" s="15"/>
      <c r="P1173" s="6">
        <v>41608.667511574073</v>
      </c>
      <c r="Q1173" s="12"/>
      <c r="R1173" s="17" t="s">
        <v>708</v>
      </c>
      <c r="S1173" s="11" t="s">
        <v>709</v>
      </c>
      <c r="T1173" s="12"/>
      <c r="U1173" s="10" t="str">
        <f t="shared" si="246"/>
        <v>View</v>
      </c>
    </row>
    <row r="1174" spans="1:21" ht="51">
      <c r="A1174" s="6">
        <v>43425.666134259256</v>
      </c>
      <c r="B1174" s="7" t="str">
        <f>HYPERLINK("https://twitter.com/davidmartinezg","@davidmartinezg")</f>
        <v>@davidmartinezg</v>
      </c>
      <c r="C1174" s="8" t="s">
        <v>6022</v>
      </c>
      <c r="D1174" s="9" t="s">
        <v>6023</v>
      </c>
      <c r="E1174" s="10" t="str">
        <f>HYPERLINK("https://twitter.com/davidmartinezg/status/1065258338399776768","1065258338399776768")</f>
        <v>1065258338399776768</v>
      </c>
      <c r="F1174" s="11" t="s">
        <v>2534</v>
      </c>
      <c r="G1174" s="12"/>
      <c r="H1174" s="12"/>
      <c r="I1174" s="13">
        <v>86</v>
      </c>
      <c r="J1174" s="13">
        <v>146</v>
      </c>
      <c r="K1174" s="14" t="str">
        <f t="shared" ref="K1174:K1175" si="247">HYPERLINK("http://twitter.com/download/iphone","Twitter for iPhone")</f>
        <v>Twitter for iPhone</v>
      </c>
      <c r="L1174" s="13">
        <v>3775</v>
      </c>
      <c r="M1174" s="13">
        <v>1320</v>
      </c>
      <c r="N1174" s="13">
        <v>160</v>
      </c>
      <c r="O1174" s="15"/>
      <c r="P1174" s="6">
        <v>40290.783483796295</v>
      </c>
      <c r="Q1174" s="16" t="s">
        <v>496</v>
      </c>
      <c r="R1174" s="17" t="s">
        <v>6030</v>
      </c>
      <c r="S1174" s="12"/>
      <c r="T1174" s="12"/>
      <c r="U1174" s="10" t="str">
        <f>HYPERLINK("https://pbs.twimg.com/profile_images/992548117106102272/GadqmjX2.jpg","View")</f>
        <v>View</v>
      </c>
    </row>
    <row r="1175" spans="1:21" ht="51">
      <c r="A1175" s="6">
        <v>43425.664293981477</v>
      </c>
      <c r="B1175" s="7" t="str">
        <f>HYPERLINK("https://twitter.com/worldofhel","@worldofhel")</f>
        <v>@worldofhel</v>
      </c>
      <c r="C1175" s="8" t="s">
        <v>2950</v>
      </c>
      <c r="D1175" s="9" t="s">
        <v>2951</v>
      </c>
      <c r="E1175" s="10" t="str">
        <f>HYPERLINK("https://twitter.com/worldofhel/status/1065257674433093632","1065257674433093632")</f>
        <v>1065257674433093632</v>
      </c>
      <c r="F1175" s="12"/>
      <c r="G1175" s="12"/>
      <c r="H1175" s="12"/>
      <c r="I1175" s="13">
        <v>1</v>
      </c>
      <c r="J1175" s="13">
        <v>6</v>
      </c>
      <c r="K1175" s="14" t="str">
        <f t="shared" si="247"/>
        <v>Twitter for iPhone</v>
      </c>
      <c r="L1175" s="13">
        <v>1205</v>
      </c>
      <c r="M1175" s="13">
        <v>644</v>
      </c>
      <c r="N1175" s="13">
        <v>11</v>
      </c>
      <c r="O1175" s="15"/>
      <c r="P1175" s="6">
        <v>42418.888449074075</v>
      </c>
      <c r="Q1175" s="16" t="s">
        <v>2952</v>
      </c>
      <c r="R1175" s="17" t="s">
        <v>2953</v>
      </c>
      <c r="S1175" s="12"/>
      <c r="T1175" s="12"/>
      <c r="U1175" s="10" t="str">
        <f>HYPERLINK("https://pbs.twimg.com/profile_images/1060174081440538624/U_x7KbAN.jpg","View")</f>
        <v>View</v>
      </c>
    </row>
    <row r="1176" spans="1:21" ht="61.2">
      <c r="A1176" s="6">
        <v>43425.664143518516</v>
      </c>
      <c r="B1176" s="7" t="str">
        <f>HYPERLINK("https://twitter.com/susieace","@susieace")</f>
        <v>@susieace</v>
      </c>
      <c r="C1176" s="8" t="s">
        <v>2954</v>
      </c>
      <c r="D1176" s="9" t="s">
        <v>2955</v>
      </c>
      <c r="E1176" s="10" t="str">
        <f>HYPERLINK("https://twitter.com/susieace/status/1065257618288099335","1065257618288099335")</f>
        <v>1065257618288099335</v>
      </c>
      <c r="F1176" s="16" t="s">
        <v>733</v>
      </c>
      <c r="G1176" s="11" t="s">
        <v>65</v>
      </c>
      <c r="H1176" s="12"/>
      <c r="I1176" s="13">
        <v>0</v>
      </c>
      <c r="J1176" s="13">
        <v>0</v>
      </c>
      <c r="K1176" s="14" t="str">
        <f>HYPERLINK("http://twitter.com/#!/download/ipad","Twitter for iPad")</f>
        <v>Twitter for iPad</v>
      </c>
      <c r="L1176" s="13">
        <v>105</v>
      </c>
      <c r="M1176" s="13">
        <v>147</v>
      </c>
      <c r="N1176" s="13">
        <v>1</v>
      </c>
      <c r="O1176" s="15"/>
      <c r="P1176" s="6">
        <v>39933.404212962967</v>
      </c>
      <c r="Q1176" s="16" t="s">
        <v>2956</v>
      </c>
      <c r="R1176" s="17" t="s">
        <v>2957</v>
      </c>
      <c r="S1176" s="12"/>
      <c r="T1176" s="12"/>
      <c r="U1176" s="10" t="str">
        <f>HYPERLINK("https://pbs.twimg.com/profile_images/1015688201900617728/s6bWedle.jpg","View")</f>
        <v>View</v>
      </c>
    </row>
    <row r="1177" spans="1:21" ht="61.2">
      <c r="A1177" s="6">
        <v>43425.662638888884</v>
      </c>
      <c r="B1177" s="7" t="str">
        <f>HYPERLINK("https://twitter.com/cclapton1","@cclapton1")</f>
        <v>@cclapton1</v>
      </c>
      <c r="C1177" s="8" t="s">
        <v>6039</v>
      </c>
      <c r="D1177" s="9" t="s">
        <v>6040</v>
      </c>
      <c r="E1177" s="10" t="str">
        <f>HYPERLINK("https://twitter.com/cclapton1/status/1065257072302927872","1065257072302927872")</f>
        <v>1065257072302927872</v>
      </c>
      <c r="F1177" s="11" t="s">
        <v>1700</v>
      </c>
      <c r="G1177" s="12"/>
      <c r="H1177" s="12"/>
      <c r="I1177" s="13">
        <v>1</v>
      </c>
      <c r="J1177" s="13">
        <v>0</v>
      </c>
      <c r="K1177" s="14" t="str">
        <f>HYPERLINK("http://twitter.com","Twitter Web Client")</f>
        <v>Twitter Web Client</v>
      </c>
      <c r="L1177" s="13">
        <v>3051</v>
      </c>
      <c r="M1177" s="13">
        <v>2005</v>
      </c>
      <c r="N1177" s="13">
        <v>30</v>
      </c>
      <c r="O1177" s="15"/>
      <c r="P1177" s="6">
        <v>42426.789953703701</v>
      </c>
      <c r="Q1177" s="12"/>
      <c r="R1177" s="17" t="s">
        <v>6043</v>
      </c>
      <c r="S1177" s="12"/>
      <c r="T1177" s="12"/>
      <c r="U1177" s="10" t="str">
        <f>HYPERLINK("https://pbs.twimg.com/profile_images/1035860864673435649/Ii6aClEj.jpg","View")</f>
        <v>View</v>
      </c>
    </row>
    <row r="1178" spans="1:21" ht="30.6">
      <c r="A1178" s="6">
        <v>43425.661481481482</v>
      </c>
      <c r="B1178" s="7" t="str">
        <f>HYPERLINK("https://twitter.com/RicardoBerjon","@RicardoBerjon")</f>
        <v>@RicardoBerjon</v>
      </c>
      <c r="C1178" s="8" t="s">
        <v>6044</v>
      </c>
      <c r="D1178" s="9" t="s">
        <v>6045</v>
      </c>
      <c r="E1178" s="10" t="str">
        <f>HYPERLINK("https://twitter.com/RicardoBerjon/status/1065256654030233600","1065256654030233600")</f>
        <v>1065256654030233600</v>
      </c>
      <c r="F1178" s="11" t="s">
        <v>6048</v>
      </c>
      <c r="G1178" s="12"/>
      <c r="H1178" s="12"/>
      <c r="I1178" s="13">
        <v>0</v>
      </c>
      <c r="J1178" s="13">
        <v>0</v>
      </c>
      <c r="K1178" s="14" t="str">
        <f>HYPERLINK("http://twitter.com/download/iphone","Twitter for iPhone")</f>
        <v>Twitter for iPhone</v>
      </c>
      <c r="L1178" s="13">
        <v>3801</v>
      </c>
      <c r="M1178" s="13">
        <v>3702</v>
      </c>
      <c r="N1178" s="13">
        <v>22</v>
      </c>
      <c r="O1178" s="15"/>
      <c r="P1178" s="6">
        <v>40950.784201388888</v>
      </c>
      <c r="Q1178" s="16" t="s">
        <v>6051</v>
      </c>
      <c r="R1178" s="17" t="s">
        <v>6052</v>
      </c>
      <c r="S1178" s="12"/>
      <c r="T1178" s="12"/>
      <c r="U1178" s="10" t="str">
        <f>HYPERLINK("https://pbs.twimg.com/profile_images/884531663803473920/2QAJ43Oo.jpg","View")</f>
        <v>View</v>
      </c>
    </row>
    <row r="1179" spans="1:21" ht="51">
      <c r="A1179" s="6">
        <v>43425.659942129627</v>
      </c>
      <c r="B1179" s="7" t="str">
        <f>HYPERLINK("https://twitter.com/CsVillalbilla","@CsVillalbilla")</f>
        <v>@CsVillalbilla</v>
      </c>
      <c r="C1179" s="8" t="s">
        <v>2958</v>
      </c>
      <c r="D1179" s="9" t="s">
        <v>2959</v>
      </c>
      <c r="E1179" s="10" t="str">
        <f>HYPERLINK("https://twitter.com/CsVillalbilla/status/1065256097882275840","1065256097882275840")</f>
        <v>1065256097882275840</v>
      </c>
      <c r="F1179" s="11" t="s">
        <v>2960</v>
      </c>
      <c r="G1179" s="12"/>
      <c r="H1179" s="12"/>
      <c r="I1179" s="13">
        <v>4</v>
      </c>
      <c r="J1179" s="13">
        <v>6</v>
      </c>
      <c r="K1179" s="14" t="str">
        <f t="shared" ref="K1179:K1180" si="248">HYPERLINK("http://twitter.com/download/android","Twitter for Android")</f>
        <v>Twitter for Android</v>
      </c>
      <c r="L1179" s="13">
        <v>2634</v>
      </c>
      <c r="M1179" s="13">
        <v>1195</v>
      </c>
      <c r="N1179" s="13">
        <v>26</v>
      </c>
      <c r="O1179" s="15"/>
      <c r="P1179" s="6">
        <v>42009.584074074075</v>
      </c>
      <c r="Q1179" s="16" t="s">
        <v>2961</v>
      </c>
      <c r="R1179" s="17" t="s">
        <v>2962</v>
      </c>
      <c r="S1179" s="12"/>
      <c r="T1179" s="12"/>
      <c r="U1179" s="10" t="str">
        <f>HYPERLINK("https://pbs.twimg.com/profile_images/899387375926861829/cFkLEbPl.jpg","View")</f>
        <v>View</v>
      </c>
    </row>
    <row r="1180" spans="1:21" ht="40.799999999999997">
      <c r="A1180" s="6">
        <v>43425.659930555557</v>
      </c>
      <c r="B1180" s="7" t="str">
        <f>HYPERLINK("https://twitter.com/CurroRP","@CurroRP")</f>
        <v>@CurroRP</v>
      </c>
      <c r="C1180" s="8" t="s">
        <v>6058</v>
      </c>
      <c r="D1180" s="9" t="s">
        <v>6059</v>
      </c>
      <c r="E1180" s="10" t="str">
        <f>HYPERLINK("https://twitter.com/CurroRP/status/1065256091272003584","1065256091272003584")</f>
        <v>1065256091272003584</v>
      </c>
      <c r="F1180" s="16" t="s">
        <v>2504</v>
      </c>
      <c r="G1180" s="12"/>
      <c r="H1180" s="12"/>
      <c r="I1180" s="13">
        <v>0</v>
      </c>
      <c r="J1180" s="13">
        <v>3</v>
      </c>
      <c r="K1180" s="14" t="str">
        <f t="shared" si="248"/>
        <v>Twitter for Android</v>
      </c>
      <c r="L1180" s="13">
        <v>142</v>
      </c>
      <c r="M1180" s="13">
        <v>263</v>
      </c>
      <c r="N1180" s="13">
        <v>2</v>
      </c>
      <c r="O1180" s="15"/>
      <c r="P1180" s="6">
        <v>40661.577604166669</v>
      </c>
      <c r="Q1180" s="12"/>
      <c r="R1180" s="17" t="s">
        <v>6061</v>
      </c>
      <c r="S1180" s="12"/>
      <c r="T1180" s="12"/>
      <c r="U1180" s="10" t="str">
        <f>HYPERLINK("https://pbs.twimg.com/profile_images/802297815384883201/4BfrlwvU.jpg","View")</f>
        <v>View</v>
      </c>
    </row>
    <row r="1181" spans="1:21" ht="30.6">
      <c r="A1181" s="6">
        <v>43425.659699074073</v>
      </c>
      <c r="B1181" s="7" t="str">
        <f t="shared" ref="B1181:B1182" si="249">HYPERLINK("https://twitter.com/Pedro_Castro","@Pedro_Castro")</f>
        <v>@Pedro_Castro</v>
      </c>
      <c r="C1181" s="8" t="s">
        <v>2818</v>
      </c>
      <c r="D1181" s="9" t="s">
        <v>1697</v>
      </c>
      <c r="E1181" s="10" t="str">
        <f>HYPERLINK("https://twitter.com/Pedro_Castro/status/1065256007780036610","1065256007780036610")</f>
        <v>1065256007780036610</v>
      </c>
      <c r="F1181" s="11" t="s">
        <v>1700</v>
      </c>
      <c r="G1181" s="12"/>
      <c r="H1181" s="12"/>
      <c r="I1181" s="13">
        <v>0</v>
      </c>
      <c r="J1181" s="13">
        <v>0</v>
      </c>
      <c r="K1181" s="14" t="str">
        <f t="shared" ref="K1181:K1182" si="250">HYPERLINK("http://twitter.com","Twitter Web Client")</f>
        <v>Twitter Web Client</v>
      </c>
      <c r="L1181" s="13">
        <v>12366</v>
      </c>
      <c r="M1181" s="13">
        <v>5933</v>
      </c>
      <c r="N1181" s="13">
        <v>411</v>
      </c>
      <c r="O1181" s="15"/>
      <c r="P1181" s="6">
        <v>39811.502395833333</v>
      </c>
      <c r="Q1181" s="16" t="s">
        <v>2822</v>
      </c>
      <c r="R1181" s="17" t="s">
        <v>2823</v>
      </c>
      <c r="S1181" s="11" t="s">
        <v>2824</v>
      </c>
      <c r="T1181" s="12"/>
      <c r="U1181" s="10" t="str">
        <f t="shared" ref="U1181:U1182" si="251">HYPERLINK("https://pbs.twimg.com/profile_images/1423190616/203177_1104736911_528524_n2.jpg","View")</f>
        <v>View</v>
      </c>
    </row>
    <row r="1182" spans="1:21" ht="30.6">
      <c r="A1182" s="6">
        <v>43425.659699074073</v>
      </c>
      <c r="B1182" s="7" t="str">
        <f t="shared" si="249"/>
        <v>@Pedro_Castro</v>
      </c>
      <c r="C1182" s="8" t="s">
        <v>2818</v>
      </c>
      <c r="D1182" s="9" t="s">
        <v>1697</v>
      </c>
      <c r="E1182" s="10" t="str">
        <f>HYPERLINK("https://twitter.com/Pedro_Castro/status/1065256006131826688","1065256006131826688")</f>
        <v>1065256006131826688</v>
      </c>
      <c r="F1182" s="11" t="s">
        <v>1700</v>
      </c>
      <c r="G1182" s="12"/>
      <c r="H1182" s="12"/>
      <c r="I1182" s="13">
        <v>0</v>
      </c>
      <c r="J1182" s="13">
        <v>0</v>
      </c>
      <c r="K1182" s="14" t="str">
        <f t="shared" si="250"/>
        <v>Twitter Web Client</v>
      </c>
      <c r="L1182" s="13">
        <v>12366</v>
      </c>
      <c r="M1182" s="13">
        <v>5933</v>
      </c>
      <c r="N1182" s="13">
        <v>411</v>
      </c>
      <c r="O1182" s="15"/>
      <c r="P1182" s="6">
        <v>39811.502395833333</v>
      </c>
      <c r="Q1182" s="16" t="s">
        <v>2822</v>
      </c>
      <c r="R1182" s="17" t="s">
        <v>2823</v>
      </c>
      <c r="S1182" s="11" t="s">
        <v>2824</v>
      </c>
      <c r="T1182" s="12"/>
      <c r="U1182" s="10" t="str">
        <f t="shared" si="251"/>
        <v>View</v>
      </c>
    </row>
    <row r="1183" spans="1:21" ht="40.799999999999997">
      <c r="A1183" s="6">
        <v>43425.659641203703</v>
      </c>
      <c r="B1183" s="7" t="str">
        <f>HYPERLINK("https://twitter.com/GuillemCristo","@GuillemCristo")</f>
        <v>@GuillemCristo</v>
      </c>
      <c r="C1183" s="8" t="s">
        <v>2963</v>
      </c>
      <c r="D1183" s="9" t="s">
        <v>2964</v>
      </c>
      <c r="E1183" s="10" t="str">
        <f>HYPERLINK("https://twitter.com/GuillemCristo/status/1065255989148958722","1065255989148958722")</f>
        <v>1065255989148958722</v>
      </c>
      <c r="F1183" s="11" t="s">
        <v>2965</v>
      </c>
      <c r="G1183" s="12"/>
      <c r="H1183" s="12"/>
      <c r="I1183" s="13">
        <v>35</v>
      </c>
      <c r="J1183" s="13">
        <v>30</v>
      </c>
      <c r="K1183" s="14" t="str">
        <f>HYPERLINK("http://twitter.com/download/android","Twitter for Android")</f>
        <v>Twitter for Android</v>
      </c>
      <c r="L1183" s="13">
        <v>1507</v>
      </c>
      <c r="M1183" s="13">
        <v>2331</v>
      </c>
      <c r="N1183" s="13">
        <v>1</v>
      </c>
      <c r="O1183" s="15"/>
      <c r="P1183" s="6">
        <v>40729.518969907411</v>
      </c>
      <c r="Q1183" s="16" t="s">
        <v>2966</v>
      </c>
      <c r="R1183" s="17" t="s">
        <v>2967</v>
      </c>
      <c r="S1183" s="12"/>
      <c r="T1183" s="12"/>
      <c r="U1183" s="10" t="str">
        <f>HYPERLINK("https://pbs.twimg.com/profile_images/1057745164498862096/igUG5UPt.jpg","View")</f>
        <v>View</v>
      </c>
    </row>
    <row r="1184" spans="1:21" ht="51">
      <c r="A1184" s="6">
        <v>43425.656747685185</v>
      </c>
      <c r="B1184" s="7" t="str">
        <f>HYPERLINK("https://twitter.com/CecilioCastro","@CecilioCastro")</f>
        <v>@CecilioCastro</v>
      </c>
      <c r="C1184" s="8" t="s">
        <v>6073</v>
      </c>
      <c r="D1184" s="9" t="s">
        <v>6074</v>
      </c>
      <c r="E1184" s="10" t="str">
        <f>HYPERLINK("https://twitter.com/CecilioCastro/status/1065254940648636417","1065254940648636417")</f>
        <v>1065254940648636417</v>
      </c>
      <c r="F1184" s="12"/>
      <c r="G1184" s="12"/>
      <c r="H1184" s="12"/>
      <c r="I1184" s="13">
        <v>1</v>
      </c>
      <c r="J1184" s="13">
        <v>2</v>
      </c>
      <c r="K1184" s="14" t="str">
        <f>HYPERLINK("http://twitter.com/download/iphone","Twitter for iPhone")</f>
        <v>Twitter for iPhone</v>
      </c>
      <c r="L1184" s="13">
        <v>12761</v>
      </c>
      <c r="M1184" s="13">
        <v>13343</v>
      </c>
      <c r="N1184" s="13">
        <v>154</v>
      </c>
      <c r="O1184" s="15"/>
      <c r="P1184" s="6">
        <v>40830.855543981481</v>
      </c>
      <c r="Q1184" s="16" t="s">
        <v>6078</v>
      </c>
      <c r="R1184" s="17" t="s">
        <v>6079</v>
      </c>
      <c r="S1184" s="11" t="s">
        <v>6080</v>
      </c>
      <c r="T1184" s="12"/>
      <c r="U1184" s="10" t="str">
        <f>HYPERLINK("https://pbs.twimg.com/profile_images/1033024985697267712/2ldOzQJi.jpg","View")</f>
        <v>View</v>
      </c>
    </row>
    <row r="1185" spans="1:21" ht="61.2">
      <c r="A1185" s="6">
        <v>43425.655578703707</v>
      </c>
      <c r="B1185" s="7" t="str">
        <f>HYPERLINK("https://twitter.com/MnicaMr1","@MnicaMr1")</f>
        <v>@MnicaMr1</v>
      </c>
      <c r="C1185" s="8" t="s">
        <v>2968</v>
      </c>
      <c r="D1185" s="9" t="s">
        <v>2969</v>
      </c>
      <c r="E1185" s="10" t="str">
        <f>HYPERLINK("https://twitter.com/MnicaMr1/status/1065254513517494280","1065254513517494280")</f>
        <v>1065254513517494280</v>
      </c>
      <c r="F1185" s="16" t="s">
        <v>2504</v>
      </c>
      <c r="G1185" s="12"/>
      <c r="H1185" s="12"/>
      <c r="I1185" s="13">
        <v>0</v>
      </c>
      <c r="J1185" s="13">
        <v>0</v>
      </c>
      <c r="K1185" s="14" t="str">
        <f>HYPERLINK("http://twitter.com/download/android","Twitter for Android")</f>
        <v>Twitter for Android</v>
      </c>
      <c r="L1185" s="13">
        <v>68</v>
      </c>
      <c r="M1185" s="13">
        <v>394</v>
      </c>
      <c r="N1185" s="13">
        <v>0</v>
      </c>
      <c r="O1185" s="15"/>
      <c r="P1185" s="6">
        <v>43306.032893518517</v>
      </c>
      <c r="Q1185" s="12"/>
      <c r="R1185" s="19"/>
      <c r="S1185" s="12"/>
      <c r="T1185" s="12"/>
      <c r="U1185" s="10" t="str">
        <f>HYPERLINK("https://pbs.twimg.com/profile_images/1021891342052540418/ZBjcFSnY.jpg","View")</f>
        <v>View</v>
      </c>
    </row>
    <row r="1186" spans="1:21" ht="51">
      <c r="A1186" s="6">
        <v>43425.655208333337</v>
      </c>
      <c r="B1186" s="7" t="str">
        <f>HYPERLINK("https://twitter.com/joanmg93","@joanmg93")</f>
        <v>@joanmg93</v>
      </c>
      <c r="C1186" s="8" t="s">
        <v>5918</v>
      </c>
      <c r="D1186" s="9" t="s">
        <v>6084</v>
      </c>
      <c r="E1186" s="10" t="str">
        <f>HYPERLINK("https://twitter.com/joanmg93/status/1065254380042166272","1065254380042166272")</f>
        <v>1065254380042166272</v>
      </c>
      <c r="F1186" s="12"/>
      <c r="G1186" s="12"/>
      <c r="H1186" s="12"/>
      <c r="I1186" s="13">
        <v>2</v>
      </c>
      <c r="J1186" s="13">
        <v>2</v>
      </c>
      <c r="K1186" s="14" t="str">
        <f>HYPERLINK("http://twitter.com/download/iphone","Twitter for iPhone")</f>
        <v>Twitter for iPhone</v>
      </c>
      <c r="L1186" s="13">
        <v>887</v>
      </c>
      <c r="M1186" s="13">
        <v>611</v>
      </c>
      <c r="N1186" s="13">
        <v>12</v>
      </c>
      <c r="O1186" s="15"/>
      <c r="P1186" s="6">
        <v>40809.583564814813</v>
      </c>
      <c r="Q1186" s="16" t="s">
        <v>5923</v>
      </c>
      <c r="R1186" s="17" t="s">
        <v>5924</v>
      </c>
      <c r="S1186" s="11" t="s">
        <v>5925</v>
      </c>
      <c r="T1186" s="12"/>
      <c r="U1186" s="10" t="str">
        <f>HYPERLINK("https://pbs.twimg.com/profile_images/948203190591414272/fQ5NVa_E.jpg","View")</f>
        <v>View</v>
      </c>
    </row>
    <row r="1187" spans="1:21" ht="13.2">
      <c r="A1187" s="6">
        <v>43425.65488425926</v>
      </c>
      <c r="B1187" s="7" t="str">
        <f>HYPERLINK("https://twitter.com/aalbatros","@aalbatros")</f>
        <v>@aalbatros</v>
      </c>
      <c r="C1187" s="8" t="s">
        <v>6088</v>
      </c>
      <c r="D1187" s="9" t="s">
        <v>6089</v>
      </c>
      <c r="E1187" s="10" t="str">
        <f>HYPERLINK("https://twitter.com/aalbatros/status/1065254261477572608","1065254261477572608")</f>
        <v>1065254261477572608</v>
      </c>
      <c r="F1187" s="12"/>
      <c r="G1187" s="12"/>
      <c r="H1187" s="12"/>
      <c r="I1187" s="13">
        <v>0</v>
      </c>
      <c r="J1187" s="13">
        <v>0</v>
      </c>
      <c r="K1187" s="14" t="str">
        <f t="shared" ref="K1187:K1188" si="252">HYPERLINK("http://twitter.com/download/android","Twitter for Android")</f>
        <v>Twitter for Android</v>
      </c>
      <c r="L1187" s="13">
        <v>363</v>
      </c>
      <c r="M1187" s="13">
        <v>915</v>
      </c>
      <c r="N1187" s="13">
        <v>6</v>
      </c>
      <c r="O1187" s="15"/>
      <c r="P1187" s="6">
        <v>39965.93891203704</v>
      </c>
      <c r="Q1187" s="16" t="s">
        <v>496</v>
      </c>
      <c r="R1187" s="17" t="s">
        <v>6090</v>
      </c>
      <c r="S1187" s="12"/>
      <c r="T1187" s="12"/>
      <c r="U1187" s="10" t="str">
        <f>HYPERLINK("https://pbs.twimg.com/profile_images/1054777247645790209/_cmg6X4E.jpg","View")</f>
        <v>View</v>
      </c>
    </row>
    <row r="1188" spans="1:21" ht="30.6">
      <c r="A1188" s="6">
        <v>43425.654282407406</v>
      </c>
      <c r="B1188" s="7" t="str">
        <f>HYPERLINK("https://twitter.com/pucelita69","@pucelita69")</f>
        <v>@pucelita69</v>
      </c>
      <c r="C1188" s="8" t="s">
        <v>6091</v>
      </c>
      <c r="D1188" s="9" t="s">
        <v>6092</v>
      </c>
      <c r="E1188" s="10" t="str">
        <f>HYPERLINK("https://twitter.com/pucelita69/status/1065254045030539265","1065254045030539265")</f>
        <v>1065254045030539265</v>
      </c>
      <c r="F1188" s="16" t="s">
        <v>6093</v>
      </c>
      <c r="G1188" s="12"/>
      <c r="H1188" s="12"/>
      <c r="I1188" s="13">
        <v>0</v>
      </c>
      <c r="J1188" s="13">
        <v>1</v>
      </c>
      <c r="K1188" s="14" t="str">
        <f t="shared" si="252"/>
        <v>Twitter for Android</v>
      </c>
      <c r="L1188" s="13">
        <v>132</v>
      </c>
      <c r="M1188" s="13">
        <v>317</v>
      </c>
      <c r="N1188" s="13">
        <v>4</v>
      </c>
      <c r="O1188" s="15"/>
      <c r="P1188" s="6">
        <v>41343.818043981482</v>
      </c>
      <c r="Q1188" s="12"/>
      <c r="R1188" s="17" t="s">
        <v>6094</v>
      </c>
      <c r="S1188" s="12"/>
      <c r="T1188" s="12"/>
      <c r="U1188" s="10" t="str">
        <f>HYPERLINK("https://pbs.twimg.com/profile_images/891717026917560320/vllobPll.jpg","View")</f>
        <v>View</v>
      </c>
    </row>
    <row r="1189" spans="1:21" ht="81.599999999999994">
      <c r="A1189" s="6">
        <v>43425.654097222221</v>
      </c>
      <c r="B1189" s="7" t="str">
        <f>HYPERLINK("https://twitter.com/ivisgodo","@ivisgodo")</f>
        <v>@ivisgodo</v>
      </c>
      <c r="C1189" s="8" t="s">
        <v>2971</v>
      </c>
      <c r="D1189" s="9" t="s">
        <v>2972</v>
      </c>
      <c r="E1189" s="10" t="str">
        <f>HYPERLINK("https://twitter.com/ivisgodo/status/1065253978110337024","1065253978110337024")</f>
        <v>1065253978110337024</v>
      </c>
      <c r="F1189" s="16" t="s">
        <v>733</v>
      </c>
      <c r="G1189" s="11" t="s">
        <v>65</v>
      </c>
      <c r="H1189" s="12"/>
      <c r="I1189" s="13">
        <v>0</v>
      </c>
      <c r="J1189" s="13">
        <v>0</v>
      </c>
      <c r="K1189" s="14" t="str">
        <f>HYPERLINK("http://twitter.com/download/iphone","Twitter for iPhone")</f>
        <v>Twitter for iPhone</v>
      </c>
      <c r="L1189" s="13">
        <v>1696</v>
      </c>
      <c r="M1189" s="13">
        <v>836</v>
      </c>
      <c r="N1189" s="13">
        <v>5</v>
      </c>
      <c r="O1189" s="15"/>
      <c r="P1189" s="6">
        <v>40998.909930555557</v>
      </c>
      <c r="Q1189" s="16" t="s">
        <v>2975</v>
      </c>
      <c r="R1189" s="17" t="s">
        <v>2976</v>
      </c>
      <c r="S1189" s="12"/>
      <c r="T1189" s="12"/>
      <c r="U1189" s="10" t="str">
        <f>HYPERLINK("https://pbs.twimg.com/profile_images/564079732967219202/CJjoeopF.jpeg","View")</f>
        <v>View</v>
      </c>
    </row>
    <row r="1190" spans="1:21" ht="20.399999999999999">
      <c r="A1190" s="6">
        <v>43425.651226851856</v>
      </c>
      <c r="B1190" s="7" t="str">
        <f>HYPERLINK("https://twitter.com/Flipato2","@Flipato2")</f>
        <v>@Flipato2</v>
      </c>
      <c r="C1190" s="8" t="s">
        <v>2977</v>
      </c>
      <c r="D1190" s="9" t="s">
        <v>2978</v>
      </c>
      <c r="E1190" s="10" t="str">
        <f>HYPERLINK("https://twitter.com/Flipato2/status/1065252939856527361","1065252939856527361")</f>
        <v>1065252939856527361</v>
      </c>
      <c r="F1190" s="12"/>
      <c r="G1190" s="12"/>
      <c r="H1190" s="12"/>
      <c r="I1190" s="13">
        <v>0</v>
      </c>
      <c r="J1190" s="13">
        <v>2</v>
      </c>
      <c r="K1190" s="14" t="str">
        <f>HYPERLINK("http://twitter.com","Twitter Web Client")</f>
        <v>Twitter Web Client</v>
      </c>
      <c r="L1190" s="13">
        <v>464</v>
      </c>
      <c r="M1190" s="13">
        <v>1138</v>
      </c>
      <c r="N1190" s="13">
        <v>8</v>
      </c>
      <c r="O1190" s="15"/>
      <c r="P1190" s="6">
        <v>42865.899236111116</v>
      </c>
      <c r="Q1190" s="16" t="s">
        <v>207</v>
      </c>
      <c r="R1190" s="17" t="s">
        <v>2979</v>
      </c>
      <c r="S1190" s="12"/>
      <c r="T1190" s="12"/>
      <c r="U1190" s="10" t="str">
        <f>HYPERLINK("https://pbs.twimg.com/profile_images/902486428621398016/NtF3KUUD.jpg","View")</f>
        <v>View</v>
      </c>
    </row>
    <row r="1191" spans="1:21" ht="20.399999999999999">
      <c r="A1191" s="6">
        <v>43425.650972222225</v>
      </c>
      <c r="B1191" s="7" t="str">
        <f>HYPERLINK("https://twitter.com/negativo_stats","@negativo_stats")</f>
        <v>@negativo_stats</v>
      </c>
      <c r="C1191" s="8" t="s">
        <v>114</v>
      </c>
      <c r="D1191" s="9" t="s">
        <v>115</v>
      </c>
      <c r="E1191" s="10" t="str">
        <f>HYPERLINK("https://twitter.com/negativo_stats/status/1065252844209610752","1065252844209610752")</f>
        <v>1065252844209610752</v>
      </c>
      <c r="F1191" s="12"/>
      <c r="G1191" s="11" t="s">
        <v>2981</v>
      </c>
      <c r="H1191" s="12"/>
      <c r="I1191" s="13">
        <v>0</v>
      </c>
      <c r="J1191" s="13">
        <v>0</v>
      </c>
      <c r="K1191" s="14" t="str">
        <f>HYPERLINK("http://kosmonautica.es","Política Negativa")</f>
        <v>Política Negativa</v>
      </c>
      <c r="L1191" s="13">
        <v>256</v>
      </c>
      <c r="M1191" s="13">
        <v>694</v>
      </c>
      <c r="N1191" s="13">
        <v>2</v>
      </c>
      <c r="O1191" s="15"/>
      <c r="P1191" s="6">
        <v>42171.770601851851</v>
      </c>
      <c r="Q1191" s="16" t="s">
        <v>118</v>
      </c>
      <c r="R1191" s="17" t="s">
        <v>119</v>
      </c>
      <c r="S1191" s="12"/>
      <c r="T1191" s="12"/>
      <c r="U1191" s="10" t="str">
        <f>HYPERLINK("https://pbs.twimg.com/profile_images/628553625984438272/e-VHyhP1.png","View")</f>
        <v>View</v>
      </c>
    </row>
    <row r="1192" spans="1:21" ht="20.399999999999999">
      <c r="A1192" s="6">
        <v>43425.650590277779</v>
      </c>
      <c r="B1192" s="7" t="str">
        <f>HYPERLINK("https://twitter.com/tirso_perez","@tirso_perez")</f>
        <v>@tirso_perez</v>
      </c>
      <c r="C1192" s="8" t="s">
        <v>2829</v>
      </c>
      <c r="D1192" s="9" t="s">
        <v>1697</v>
      </c>
      <c r="E1192" s="10" t="str">
        <f>HYPERLINK("https://twitter.com/tirso_perez/status/1065252706531622912","1065252706531622912")</f>
        <v>1065252706531622912</v>
      </c>
      <c r="F1192" s="11" t="s">
        <v>1700</v>
      </c>
      <c r="G1192" s="12"/>
      <c r="H1192" s="12"/>
      <c r="I1192" s="13">
        <v>0</v>
      </c>
      <c r="J1192" s="13">
        <v>0</v>
      </c>
      <c r="K1192" s="14" t="str">
        <f>HYPERLINK("http://twitter.com","Twitter Web Client")</f>
        <v>Twitter Web Client</v>
      </c>
      <c r="L1192" s="13">
        <v>200</v>
      </c>
      <c r="M1192" s="13">
        <v>889</v>
      </c>
      <c r="N1192" s="13">
        <v>5</v>
      </c>
      <c r="O1192" s="15"/>
      <c r="P1192" s="6">
        <v>40936.635057870371</v>
      </c>
      <c r="Q1192" s="12"/>
      <c r="R1192" s="19"/>
      <c r="S1192" s="12"/>
      <c r="T1192" s="12"/>
      <c r="U1192" s="10" t="str">
        <f>HYPERLINK("https://pbs.twimg.com/profile_images/824975902744403968/h3uRVXIG.jpg","View")</f>
        <v>View</v>
      </c>
    </row>
    <row r="1193" spans="1:21" ht="30.6">
      <c r="A1193" s="6">
        <v>43425.649409722224</v>
      </c>
      <c r="B1193" s="7" t="str">
        <f>HYPERLINK("https://twitter.com/jaimecuadrosf","@jaimecuadrosf")</f>
        <v>@jaimecuadrosf</v>
      </c>
      <c r="C1193" s="8" t="s">
        <v>2986</v>
      </c>
      <c r="D1193" s="9" t="s">
        <v>2987</v>
      </c>
      <c r="E1193" s="10" t="str">
        <f>HYPERLINK("https://twitter.com/jaimecuadrosf/status/1065252277936668672","1065252277936668672")</f>
        <v>1065252277936668672</v>
      </c>
      <c r="F1193" s="11" t="s">
        <v>2988</v>
      </c>
      <c r="G1193" s="11" t="s">
        <v>2989</v>
      </c>
      <c r="H1193" s="12"/>
      <c r="I1193" s="13">
        <v>0</v>
      </c>
      <c r="J1193" s="13">
        <v>2</v>
      </c>
      <c r="K1193" s="14" t="str">
        <f>HYPERLINK("http://twitter.com/download/android","Twitter for Android")</f>
        <v>Twitter for Android</v>
      </c>
      <c r="L1193" s="13">
        <v>2661</v>
      </c>
      <c r="M1193" s="13">
        <v>1435</v>
      </c>
      <c r="N1193" s="13">
        <v>19</v>
      </c>
      <c r="O1193" s="15"/>
      <c r="P1193" s="6">
        <v>40858.944479166668</v>
      </c>
      <c r="Q1193" s="16" t="s">
        <v>2991</v>
      </c>
      <c r="R1193" s="17" t="s">
        <v>2992</v>
      </c>
      <c r="S1193" s="12"/>
      <c r="T1193" s="12"/>
      <c r="U1193" s="10" t="str">
        <f>HYPERLINK("https://pbs.twimg.com/profile_images/1041818170871480323/6ULp7oIC.jpg","View")</f>
        <v>View</v>
      </c>
    </row>
    <row r="1194" spans="1:21" ht="40.799999999999997">
      <c r="A1194" s="6">
        <v>43425.649317129632</v>
      </c>
      <c r="B1194" s="7" t="str">
        <f>HYPERLINK("https://twitter.com/psoefondon","@psoefondon")</f>
        <v>@psoefondon</v>
      </c>
      <c r="C1194" s="8" t="s">
        <v>6095</v>
      </c>
      <c r="D1194" s="9" t="s">
        <v>6096</v>
      </c>
      <c r="E1194" s="10" t="str">
        <f>HYPERLINK("https://twitter.com/psoefondon/status/1065252246907224064","1065252246907224064")</f>
        <v>1065252246907224064</v>
      </c>
      <c r="F1194" s="11" t="s">
        <v>6097</v>
      </c>
      <c r="G1194" s="12"/>
      <c r="H1194" s="12"/>
      <c r="I1194" s="13">
        <v>0</v>
      </c>
      <c r="J1194" s="13">
        <v>0</v>
      </c>
      <c r="K1194" s="14" t="str">
        <f>HYPERLINK("http://www.facebook.com/twitter","Facebook")</f>
        <v>Facebook</v>
      </c>
      <c r="L1194" s="13">
        <v>184</v>
      </c>
      <c r="M1194" s="13">
        <v>229</v>
      </c>
      <c r="N1194" s="13">
        <v>1</v>
      </c>
      <c r="O1194" s="15"/>
      <c r="P1194" s="6">
        <v>41014.53770833333</v>
      </c>
      <c r="Q1194" s="16" t="s">
        <v>6098</v>
      </c>
      <c r="R1194" s="17" t="s">
        <v>6099</v>
      </c>
      <c r="S1194" s="11" t="s">
        <v>6100</v>
      </c>
      <c r="T1194" s="12"/>
      <c r="U1194" s="10" t="str">
        <f>HYPERLINK("https://pbs.twimg.com/profile_images/1063771654877261824/IyQrANUw.jpg","View")</f>
        <v>View</v>
      </c>
    </row>
    <row r="1195" spans="1:21" ht="61.2">
      <c r="A1195" s="6">
        <v>43425.649305555555</v>
      </c>
      <c r="B1195" s="7" t="str">
        <f>HYPERLINK("https://twitter.com/cspescados","@cspescados")</f>
        <v>@cspescados</v>
      </c>
      <c r="C1195" s="8" t="s">
        <v>4544</v>
      </c>
      <c r="D1195" s="9" t="s">
        <v>6101</v>
      </c>
      <c r="E1195" s="10" t="str">
        <f>HYPERLINK("https://twitter.com/cspescados/status/1065252241144078336","1065252241144078336")</f>
        <v>1065252241144078336</v>
      </c>
      <c r="F1195" s="16" t="s">
        <v>6102</v>
      </c>
      <c r="G1195" s="11" t="s">
        <v>6103</v>
      </c>
      <c r="H1195" s="12"/>
      <c r="I1195" s="13">
        <v>36</v>
      </c>
      <c r="J1195" s="13">
        <v>44</v>
      </c>
      <c r="K1195" s="14" t="str">
        <f>HYPERLINK("https://about.twitter.com/products/tweetdeck","TweetDeck")</f>
        <v>TweetDeck</v>
      </c>
      <c r="L1195" s="13">
        <v>14940</v>
      </c>
      <c r="M1195" s="13">
        <v>819</v>
      </c>
      <c r="N1195" s="13">
        <v>127</v>
      </c>
      <c r="O1195" s="15"/>
      <c r="P1195" s="6">
        <v>42097.732581018514</v>
      </c>
      <c r="Q1195" s="16" t="s">
        <v>4547</v>
      </c>
      <c r="R1195" s="17" t="s">
        <v>4548</v>
      </c>
      <c r="S1195" s="11" t="s">
        <v>4549</v>
      </c>
      <c r="T1195" s="12"/>
      <c r="U1195" s="10" t="str">
        <f>HYPERLINK("https://pbs.twimg.com/profile_images/600268890959126528/aC9kvTK_.jpg","View")</f>
        <v>View</v>
      </c>
    </row>
    <row r="1196" spans="1:21" ht="40.799999999999997">
      <c r="A1196" s="6">
        <v>43425.648344907408</v>
      </c>
      <c r="B1196" s="7" t="str">
        <f>HYPERLINK("https://twitter.com/Carmen70210058","@Carmen70210058")</f>
        <v>@Carmen70210058</v>
      </c>
      <c r="C1196" s="8" t="s">
        <v>6104</v>
      </c>
      <c r="D1196" s="9" t="s">
        <v>6105</v>
      </c>
      <c r="E1196" s="10" t="str">
        <f>HYPERLINK("https://twitter.com/Carmen70210058/status/1065251895302856704","1065251895302856704")</f>
        <v>1065251895302856704</v>
      </c>
      <c r="F1196" s="12"/>
      <c r="G1196" s="12"/>
      <c r="H1196" s="12"/>
      <c r="I1196" s="13">
        <v>0</v>
      </c>
      <c r="J1196" s="13">
        <v>0</v>
      </c>
      <c r="K1196" s="14" t="str">
        <f>HYPERLINK("http://twitter.com/download/android","Twitter for Android")</f>
        <v>Twitter for Android</v>
      </c>
      <c r="L1196" s="13">
        <v>10</v>
      </c>
      <c r="M1196" s="13">
        <v>52</v>
      </c>
      <c r="N1196" s="13">
        <v>0</v>
      </c>
      <c r="O1196" s="15"/>
      <c r="P1196" s="6">
        <v>43104.887719907405</v>
      </c>
      <c r="Q1196" s="12"/>
      <c r="R1196" s="19"/>
      <c r="S1196" s="12"/>
      <c r="T1196" s="12"/>
      <c r="U1196" s="10" t="str">
        <f>HYPERLINK("https://pbs.twimg.com/profile_images/949014577257295873/cJNyLjgX.jpg","View")</f>
        <v>View</v>
      </c>
    </row>
    <row r="1197" spans="1:21" ht="40.799999999999997">
      <c r="A1197" s="6">
        <v>43425.647928240738</v>
      </c>
      <c r="B1197" s="7" t="str">
        <f>HYPERLINK("https://twitter.com/EfrenCruz","@EfrenCruz")</f>
        <v>@EfrenCruz</v>
      </c>
      <c r="C1197" s="8" t="s">
        <v>6106</v>
      </c>
      <c r="D1197" s="9" t="s">
        <v>6107</v>
      </c>
      <c r="E1197" s="10" t="str">
        <f>HYPERLINK("https://twitter.com/EfrenCruz/status/1065251742974177280","1065251742974177280")</f>
        <v>1065251742974177280</v>
      </c>
      <c r="F1197" s="16" t="s">
        <v>733</v>
      </c>
      <c r="G1197" s="11" t="s">
        <v>65</v>
      </c>
      <c r="H1197" s="12"/>
      <c r="I1197" s="13">
        <v>0</v>
      </c>
      <c r="J1197" s="13">
        <v>1</v>
      </c>
      <c r="K1197" s="14" t="str">
        <f>HYPERLINK("http://twitter.com/download/iphone","Twitter for iPhone")</f>
        <v>Twitter for iPhone</v>
      </c>
      <c r="L1197" s="13">
        <v>461</v>
      </c>
      <c r="M1197" s="13">
        <v>322</v>
      </c>
      <c r="N1197" s="13">
        <v>5</v>
      </c>
      <c r="O1197" s="15"/>
      <c r="P1197" s="6">
        <v>40989.710381944446</v>
      </c>
      <c r="Q1197" s="16" t="s">
        <v>208</v>
      </c>
      <c r="R1197" s="17" t="s">
        <v>6108</v>
      </c>
      <c r="S1197" s="11" t="s">
        <v>6109</v>
      </c>
      <c r="T1197" s="12"/>
      <c r="U1197" s="10" t="str">
        <f>HYPERLINK("https://pbs.twimg.com/profile_images/1058461877557190658/C4TnZkZc.jpg","View")</f>
        <v>View</v>
      </c>
    </row>
    <row r="1198" spans="1:21" ht="71.400000000000006">
      <c r="A1198" s="6">
        <v>43425.645925925928</v>
      </c>
      <c r="B1198" s="7" t="str">
        <f>HYPERLINK("https://twitter.com/lunadebenidorm","@lunadebenidorm")</f>
        <v>@lunadebenidorm</v>
      </c>
      <c r="C1198" s="8" t="s">
        <v>517</v>
      </c>
      <c r="D1198" s="9" t="s">
        <v>6110</v>
      </c>
      <c r="E1198" s="10" t="str">
        <f>HYPERLINK("https://twitter.com/lunadebenidorm/status/1065251017242099715","1065251017242099715")</f>
        <v>1065251017242099715</v>
      </c>
      <c r="F1198" s="11" t="s">
        <v>6111</v>
      </c>
      <c r="G1198" s="11" t="s">
        <v>6112</v>
      </c>
      <c r="H1198" s="12"/>
      <c r="I1198" s="13">
        <v>0</v>
      </c>
      <c r="J1198" s="13">
        <v>0</v>
      </c>
      <c r="K1198" s="14" t="str">
        <f>HYPERLINK("http://twitter.com","Twitter Web Client")</f>
        <v>Twitter Web Client</v>
      </c>
      <c r="L1198" s="13">
        <v>3991</v>
      </c>
      <c r="M1198" s="13">
        <v>3978</v>
      </c>
      <c r="N1198" s="13">
        <v>79</v>
      </c>
      <c r="O1198" s="15"/>
      <c r="P1198" s="6">
        <v>41461.81186342593</v>
      </c>
      <c r="Q1198" s="12"/>
      <c r="R1198" s="17" t="s">
        <v>519</v>
      </c>
      <c r="S1198" s="12"/>
      <c r="T1198" s="12"/>
      <c r="U1198" s="10" t="str">
        <f>HYPERLINK("https://pbs.twimg.com/profile_images/1061229593758257153/rePCQt08.jpg","View")</f>
        <v>View</v>
      </c>
    </row>
    <row r="1199" spans="1:21" ht="30.6">
      <c r="A1199" s="6">
        <v>43425.645925925928</v>
      </c>
      <c r="B1199" s="7" t="str">
        <f>HYPERLINK("https://twitter.com/kiddo_the","@kiddo_the")</f>
        <v>@kiddo_the</v>
      </c>
      <c r="C1199" s="8" t="s">
        <v>6113</v>
      </c>
      <c r="D1199" s="9" t="s">
        <v>5300</v>
      </c>
      <c r="E1199" s="10" t="str">
        <f>HYPERLINK("https://twitter.com/kiddo_the/status/1065251015346274304","1065251015346274304")</f>
        <v>1065251015346274304</v>
      </c>
      <c r="F1199" s="11" t="s">
        <v>557</v>
      </c>
      <c r="G1199" s="12"/>
      <c r="H1199" s="12"/>
      <c r="I1199" s="13">
        <v>0</v>
      </c>
      <c r="J1199" s="13">
        <v>0</v>
      </c>
      <c r="K1199" s="14" t="str">
        <f>HYPERLINK("http://twitter.com/download/android","Twitter for Android")</f>
        <v>Twitter for Android</v>
      </c>
      <c r="L1199" s="13">
        <v>1129</v>
      </c>
      <c r="M1199" s="13">
        <v>1512</v>
      </c>
      <c r="N1199" s="13">
        <v>13</v>
      </c>
      <c r="O1199" s="15"/>
      <c r="P1199" s="6">
        <v>42101.530821759261</v>
      </c>
      <c r="Q1199" s="16" t="s">
        <v>118</v>
      </c>
      <c r="R1199" s="17" t="s">
        <v>6114</v>
      </c>
      <c r="S1199" s="12"/>
      <c r="T1199" s="12"/>
      <c r="U1199" s="10" t="str">
        <f>HYPERLINK("https://pbs.twimg.com/profile_images/917787207792021504/oCthRWjS.jpg","View")</f>
        <v>View</v>
      </c>
    </row>
    <row r="1200" spans="1:21" ht="51">
      <c r="A1200" s="6">
        <v>43425.645844907413</v>
      </c>
      <c r="B1200" s="7" t="str">
        <f>HYPERLINK("https://twitter.com/indpcom","@indpcom")</f>
        <v>@indpcom</v>
      </c>
      <c r="C1200" s="8" t="s">
        <v>4706</v>
      </c>
      <c r="D1200" s="9" t="s">
        <v>6115</v>
      </c>
      <c r="E1200" s="10" t="str">
        <f>HYPERLINK("https://twitter.com/indpcom/status/1065250987592437760","1065250987592437760")</f>
        <v>1065250987592437760</v>
      </c>
      <c r="F1200" s="11" t="s">
        <v>4708</v>
      </c>
      <c r="G1200" s="12"/>
      <c r="H1200" s="12"/>
      <c r="I1200" s="13">
        <v>1</v>
      </c>
      <c r="J1200" s="13">
        <v>0</v>
      </c>
      <c r="K1200" s="14" t="str">
        <f>HYPERLINK("https://about.twitter.com/products/tweetdeck","TweetDeck")</f>
        <v>TweetDeck</v>
      </c>
      <c r="L1200" s="13">
        <v>57680</v>
      </c>
      <c r="M1200" s="13">
        <v>1302</v>
      </c>
      <c r="N1200" s="13">
        <v>1097</v>
      </c>
      <c r="O1200" s="18" t="s">
        <v>36</v>
      </c>
      <c r="P1200" s="6">
        <v>42537.702719907407</v>
      </c>
      <c r="Q1200" s="16" t="s">
        <v>118</v>
      </c>
      <c r="R1200" s="17" t="s">
        <v>4710</v>
      </c>
      <c r="S1200" s="11" t="s">
        <v>4711</v>
      </c>
      <c r="T1200" s="12"/>
      <c r="U1200" s="10" t="str">
        <f>HYPERLINK("https://pbs.twimg.com/profile_images/773807977069420544/o4tNI4zQ.jpg","View")</f>
        <v>View</v>
      </c>
    </row>
    <row r="1201" spans="1:21" ht="30.6">
      <c r="A1201" s="6">
        <v>43425.645567129628</v>
      </c>
      <c r="B1201" s="7" t="str">
        <f>HYPERLINK("https://twitter.com/kiddo_the","@kiddo_the")</f>
        <v>@kiddo_the</v>
      </c>
      <c r="C1201" s="8" t="s">
        <v>6113</v>
      </c>
      <c r="D1201" s="9" t="s">
        <v>4528</v>
      </c>
      <c r="E1201" s="10" t="str">
        <f>HYPERLINK("https://twitter.com/kiddo_the/status/1065250888103673856","1065250888103673856")</f>
        <v>1065250888103673856</v>
      </c>
      <c r="F1201" s="11" t="s">
        <v>1228</v>
      </c>
      <c r="G1201" s="12"/>
      <c r="H1201" s="12"/>
      <c r="I1201" s="13">
        <v>1</v>
      </c>
      <c r="J1201" s="13">
        <v>1</v>
      </c>
      <c r="K1201" s="14" t="str">
        <f>HYPERLINK("http://twitter.com/download/android","Twitter for Android")</f>
        <v>Twitter for Android</v>
      </c>
      <c r="L1201" s="13">
        <v>1129</v>
      </c>
      <c r="M1201" s="13">
        <v>1512</v>
      </c>
      <c r="N1201" s="13">
        <v>13</v>
      </c>
      <c r="O1201" s="15"/>
      <c r="P1201" s="6">
        <v>42101.530821759261</v>
      </c>
      <c r="Q1201" s="16" t="s">
        <v>118</v>
      </c>
      <c r="R1201" s="17" t="s">
        <v>6114</v>
      </c>
      <c r="S1201" s="12"/>
      <c r="T1201" s="12"/>
      <c r="U1201" s="10" t="str">
        <f>HYPERLINK("https://pbs.twimg.com/profile_images/917787207792021504/oCthRWjS.jpg","View")</f>
        <v>View</v>
      </c>
    </row>
    <row r="1202" spans="1:21" ht="51">
      <c r="A1202" s="6">
        <v>43425.644756944443</v>
      </c>
      <c r="B1202" s="7" t="str">
        <f>HYPERLINK("https://twitter.com/Robcampnou67","@Robcampnou67")</f>
        <v>@Robcampnou67</v>
      </c>
      <c r="C1202" s="8" t="s">
        <v>6116</v>
      </c>
      <c r="D1202" s="9" t="s">
        <v>1697</v>
      </c>
      <c r="E1202" s="10" t="str">
        <f>HYPERLINK("https://twitter.com/Robcampnou67/status/1065250593676115968","1065250593676115968")</f>
        <v>1065250593676115968</v>
      </c>
      <c r="F1202" s="11" t="s">
        <v>1700</v>
      </c>
      <c r="G1202" s="12"/>
      <c r="H1202" s="12"/>
      <c r="I1202" s="13">
        <v>0</v>
      </c>
      <c r="J1202" s="13">
        <v>0</v>
      </c>
      <c r="K1202" s="14" t="str">
        <f>HYPERLINK("http://twitter.com","Twitter Web Client")</f>
        <v>Twitter Web Client</v>
      </c>
      <c r="L1202" s="13">
        <v>3929</v>
      </c>
      <c r="M1202" s="13">
        <v>3087</v>
      </c>
      <c r="N1202" s="13">
        <v>89</v>
      </c>
      <c r="O1202" s="15"/>
      <c r="P1202" s="6">
        <v>40959.62023148148</v>
      </c>
      <c r="Q1202" s="16" t="s">
        <v>6117</v>
      </c>
      <c r="R1202" s="17" t="s">
        <v>6118</v>
      </c>
      <c r="S1202" s="12"/>
      <c r="T1202" s="12"/>
      <c r="U1202" s="10" t="str">
        <f>HYPERLINK("https://pbs.twimg.com/profile_images/905021058671149056/J_az7KNb.jpg","View")</f>
        <v>View</v>
      </c>
    </row>
    <row r="1203" spans="1:21" ht="40.799999999999997">
      <c r="A1203" s="6">
        <v>43425.644745370373</v>
      </c>
      <c r="B1203" s="7" t="str">
        <f>HYPERLINK("https://twitter.com/Adriabcn11","@Adriabcn11")</f>
        <v>@Adriabcn11</v>
      </c>
      <c r="C1203" s="8" t="s">
        <v>6119</v>
      </c>
      <c r="D1203" s="9" t="s">
        <v>6120</v>
      </c>
      <c r="E1203" s="10" t="str">
        <f>HYPERLINK("https://twitter.com/Adriabcn11/status/1065250591197270017","1065250591197270017")</f>
        <v>1065250591197270017</v>
      </c>
      <c r="F1203" s="11" t="s">
        <v>6121</v>
      </c>
      <c r="G1203" s="12"/>
      <c r="H1203" s="12"/>
      <c r="I1203" s="13">
        <v>0</v>
      </c>
      <c r="J1203" s="13">
        <v>1</v>
      </c>
      <c r="K1203" s="14" t="str">
        <f>HYPERLINK("http://www.facebook.com/twitter","Facebook")</f>
        <v>Facebook</v>
      </c>
      <c r="L1203" s="13">
        <v>311</v>
      </c>
      <c r="M1203" s="13">
        <v>343</v>
      </c>
      <c r="N1203" s="13">
        <v>7</v>
      </c>
      <c r="O1203" s="15"/>
      <c r="P1203" s="6">
        <v>40614.000925925924</v>
      </c>
      <c r="Q1203" s="16" t="s">
        <v>6122</v>
      </c>
      <c r="R1203" s="17" t="s">
        <v>6123</v>
      </c>
      <c r="S1203" s="12"/>
      <c r="T1203" s="12"/>
      <c r="U1203" s="10" t="str">
        <f>HYPERLINK("https://pbs.twimg.com/profile_images/806133590350327809/XU7XQeGD.jpg","View")</f>
        <v>View</v>
      </c>
    </row>
    <row r="1204" spans="1:21" ht="51">
      <c r="A1204" s="6">
        <v>43425.644560185188</v>
      </c>
      <c r="B1204" s="7" t="str">
        <f>HYPERLINK("https://twitter.com/usingneurons","@usingneurons")</f>
        <v>@usingneurons</v>
      </c>
      <c r="C1204" s="8" t="s">
        <v>2993</v>
      </c>
      <c r="D1204" s="9" t="s">
        <v>2994</v>
      </c>
      <c r="E1204" s="10" t="str">
        <f>HYPERLINK("https://twitter.com/usingneurons/status/1065250521571827712","1065250521571827712")</f>
        <v>1065250521571827712</v>
      </c>
      <c r="F1204" s="16" t="s">
        <v>2995</v>
      </c>
      <c r="G1204" s="12"/>
      <c r="H1204" s="12"/>
      <c r="I1204" s="13">
        <v>0</v>
      </c>
      <c r="J1204" s="13">
        <v>0</v>
      </c>
      <c r="K1204" s="14" t="str">
        <f t="shared" ref="K1204:K1205" si="253">HYPERLINK("http://twitter.com","Twitter Web Client")</f>
        <v>Twitter Web Client</v>
      </c>
      <c r="L1204" s="13">
        <v>924</v>
      </c>
      <c r="M1204" s="13">
        <v>894</v>
      </c>
      <c r="N1204" s="13">
        <v>21</v>
      </c>
      <c r="O1204" s="15"/>
      <c r="P1204" s="6">
        <v>41781.782407407409</v>
      </c>
      <c r="Q1204" s="12"/>
      <c r="R1204" s="17" t="s">
        <v>2996</v>
      </c>
      <c r="S1204" s="12"/>
      <c r="T1204" s="12"/>
      <c r="U1204" s="10" t="str">
        <f>HYPERLINK("https://pbs.twimg.com/profile_images/497787841733066752/jnJEf2Rm.jpeg","View")</f>
        <v>View</v>
      </c>
    </row>
    <row r="1205" spans="1:21" ht="30.6">
      <c r="A1205" s="6">
        <v>43425.644236111111</v>
      </c>
      <c r="B1205" s="7" t="str">
        <f>HYPERLINK("https://twitter.com/DexterTnecesito","@DexterTnecesito")</f>
        <v>@DexterTnecesito</v>
      </c>
      <c r="C1205" s="8" t="s">
        <v>2997</v>
      </c>
      <c r="D1205" s="9" t="s">
        <v>2998</v>
      </c>
      <c r="E1205" s="10" t="str">
        <f>HYPERLINK("https://twitter.com/DexterTnecesito/status/1065250404122992641","1065250404122992641")</f>
        <v>1065250404122992641</v>
      </c>
      <c r="F1205" s="12"/>
      <c r="G1205" s="12"/>
      <c r="H1205" s="12"/>
      <c r="I1205" s="13">
        <v>0</v>
      </c>
      <c r="J1205" s="13">
        <v>0</v>
      </c>
      <c r="K1205" s="14" t="str">
        <f t="shared" si="253"/>
        <v>Twitter Web Client</v>
      </c>
      <c r="L1205" s="13">
        <v>55</v>
      </c>
      <c r="M1205" s="13">
        <v>108</v>
      </c>
      <c r="N1205" s="13">
        <v>2</v>
      </c>
      <c r="O1205" s="15"/>
      <c r="P1205" s="6">
        <v>41191.685127314813</v>
      </c>
      <c r="Q1205" s="12"/>
      <c r="R1205" s="17" t="s">
        <v>2999</v>
      </c>
      <c r="S1205" s="12"/>
      <c r="T1205" s="12"/>
      <c r="U1205" s="10" t="str">
        <f>HYPERLINK("https://pbs.twimg.com/profile_images/2698486867/9baf0be95673d0d1c6b372c771cf05a0.jpeg","View")</f>
        <v>View</v>
      </c>
    </row>
    <row r="1206" spans="1:21" ht="40.799999999999997">
      <c r="A1206" s="6">
        <v>43425.643773148149</v>
      </c>
      <c r="B1206" s="7" t="str">
        <f>HYPERLINK("https://twitter.com/psoefondon","@psoefondon")</f>
        <v>@psoefondon</v>
      </c>
      <c r="C1206" s="8" t="s">
        <v>6095</v>
      </c>
      <c r="D1206" s="9" t="s">
        <v>6096</v>
      </c>
      <c r="E1206" s="10" t="str">
        <f>HYPERLINK("https://twitter.com/psoefondon/status/1065250235574714370","1065250235574714370")</f>
        <v>1065250235574714370</v>
      </c>
      <c r="F1206" s="11" t="s">
        <v>6124</v>
      </c>
      <c r="G1206" s="12"/>
      <c r="H1206" s="12"/>
      <c r="I1206" s="13">
        <v>0</v>
      </c>
      <c r="J1206" s="13">
        <v>0</v>
      </c>
      <c r="K1206" s="14" t="str">
        <f>HYPERLINK("http://www.facebook.com/twitter","Facebook")</f>
        <v>Facebook</v>
      </c>
      <c r="L1206" s="13">
        <v>184</v>
      </c>
      <c r="M1206" s="13">
        <v>229</v>
      </c>
      <c r="N1206" s="13">
        <v>1</v>
      </c>
      <c r="O1206" s="15"/>
      <c r="P1206" s="6">
        <v>41014.53770833333</v>
      </c>
      <c r="Q1206" s="16" t="s">
        <v>6098</v>
      </c>
      <c r="R1206" s="17" t="s">
        <v>6099</v>
      </c>
      <c r="S1206" s="11" t="s">
        <v>6100</v>
      </c>
      <c r="T1206" s="12"/>
      <c r="U1206" s="10" t="str">
        <f>HYPERLINK("https://pbs.twimg.com/profile_images/1063771654877261824/IyQrANUw.jpg","View")</f>
        <v>View</v>
      </c>
    </row>
    <row r="1207" spans="1:21" ht="71.400000000000006">
      <c r="A1207" s="6">
        <v>43425.64329861111</v>
      </c>
      <c r="B1207" s="7" t="str">
        <f>HYPERLINK("https://twitter.com/Albertito23","@Albertito23")</f>
        <v>@Albertito23</v>
      </c>
      <c r="C1207" s="8" t="s">
        <v>6125</v>
      </c>
      <c r="D1207" s="9" t="s">
        <v>6126</v>
      </c>
      <c r="E1207" s="10" t="str">
        <f>HYPERLINK("https://twitter.com/Albertito23/status/1065250064505995264","1065250064505995264")</f>
        <v>1065250064505995264</v>
      </c>
      <c r="F1207" s="16" t="s">
        <v>2570</v>
      </c>
      <c r="G1207" s="11" t="s">
        <v>2571</v>
      </c>
      <c r="H1207" s="12"/>
      <c r="I1207" s="13">
        <v>0</v>
      </c>
      <c r="J1207" s="13">
        <v>0</v>
      </c>
      <c r="K1207" s="14" t="str">
        <f>HYPERLINK("http://twitter.com/download/android","Twitter for Android")</f>
        <v>Twitter for Android</v>
      </c>
      <c r="L1207" s="13">
        <v>866</v>
      </c>
      <c r="M1207" s="13">
        <v>529</v>
      </c>
      <c r="N1207" s="13">
        <v>30</v>
      </c>
      <c r="O1207" s="15"/>
      <c r="P1207" s="6">
        <v>40307.426805555559</v>
      </c>
      <c r="Q1207" s="16" t="s">
        <v>118</v>
      </c>
      <c r="R1207" s="17" t="s">
        <v>6127</v>
      </c>
      <c r="S1207" s="12"/>
      <c r="T1207" s="12"/>
      <c r="U1207" s="10" t="str">
        <f>HYPERLINK("https://pbs.twimg.com/profile_images/1038342614133731328/_KSSTAVD.jpg","View")</f>
        <v>View</v>
      </c>
    </row>
    <row r="1208" spans="1:21" ht="51">
      <c r="A1208" s="6">
        <v>43425.642951388887</v>
      </c>
      <c r="B1208" s="7" t="str">
        <f>HYPERLINK("https://twitter.com/joseagafdz","@joseagafdz")</f>
        <v>@joseagafdz</v>
      </c>
      <c r="C1208" s="8" t="s">
        <v>3000</v>
      </c>
      <c r="D1208" s="9" t="s">
        <v>3001</v>
      </c>
      <c r="E1208" s="10" t="str">
        <f>HYPERLINK("https://twitter.com/joseagafdz/status/1065249940383965189","1065249940383965189")</f>
        <v>1065249940383965189</v>
      </c>
      <c r="F1208" s="12"/>
      <c r="G1208" s="11" t="s">
        <v>3002</v>
      </c>
      <c r="H1208" s="12"/>
      <c r="I1208" s="13">
        <v>19</v>
      </c>
      <c r="J1208" s="13">
        <v>14</v>
      </c>
      <c r="K1208" s="14" t="str">
        <f>HYPERLINK("http://twitter.com/download/iphone","Twitter for iPhone")</f>
        <v>Twitter for iPhone</v>
      </c>
      <c r="L1208" s="13">
        <v>139</v>
      </c>
      <c r="M1208" s="13">
        <v>72</v>
      </c>
      <c r="N1208" s="13">
        <v>0</v>
      </c>
      <c r="O1208" s="15"/>
      <c r="P1208" s="6">
        <v>43365.947731481487</v>
      </c>
      <c r="Q1208" s="16" t="s">
        <v>37</v>
      </c>
      <c r="R1208" s="17" t="s">
        <v>3003</v>
      </c>
      <c r="S1208" s="12"/>
      <c r="T1208" s="12"/>
      <c r="U1208" s="10" t="str">
        <f>HYPERLINK("https://pbs.twimg.com/profile_images/1043604071926644736/KNqNMDa2.jpg","View")</f>
        <v>View</v>
      </c>
    </row>
    <row r="1209" spans="1:21" ht="61.2">
      <c r="A1209" s="6">
        <v>43425.642233796301</v>
      </c>
      <c r="B1209" s="7" t="str">
        <f>HYPERLINK("https://twitter.com/JamesDeanIndepe","@JamesDeanIndepe")</f>
        <v>@JamesDeanIndepe</v>
      </c>
      <c r="C1209" s="8" t="s">
        <v>3004</v>
      </c>
      <c r="D1209" s="9" t="s">
        <v>3005</v>
      </c>
      <c r="E1209" s="10" t="str">
        <f>HYPERLINK("https://twitter.com/JamesDeanIndepe/status/1065249679707971586","1065249679707971586")</f>
        <v>1065249679707971586</v>
      </c>
      <c r="F1209" s="11" t="s">
        <v>3006</v>
      </c>
      <c r="G1209" s="12"/>
      <c r="H1209" s="12"/>
      <c r="I1209" s="13">
        <v>0</v>
      </c>
      <c r="J1209" s="13">
        <v>0</v>
      </c>
      <c r="K1209" s="14" t="str">
        <f>HYPERLINK("http://twitter.com/#!/download/ipad","Twitter for iPad")</f>
        <v>Twitter for iPad</v>
      </c>
      <c r="L1209" s="13">
        <v>400</v>
      </c>
      <c r="M1209" s="13">
        <v>117</v>
      </c>
      <c r="N1209" s="13">
        <v>7</v>
      </c>
      <c r="O1209" s="15"/>
      <c r="P1209" s="6">
        <v>41803.723113425927</v>
      </c>
      <c r="Q1209" s="12"/>
      <c r="R1209" s="17" t="s">
        <v>3007</v>
      </c>
      <c r="S1209" s="12"/>
      <c r="T1209" s="12"/>
      <c r="U1209" s="10" t="str">
        <f>HYPERLINK("https://pbs.twimg.com/profile_images/986698264593432576/GpIsCReZ.jpg","View")</f>
        <v>View</v>
      </c>
    </row>
    <row r="1210" spans="1:21" ht="30.6">
      <c r="A1210" s="6">
        <v>43425.639976851853</v>
      </c>
      <c r="B1210" s="7" t="str">
        <f>HYPERLINK("https://twitter.com/jasusio","@jasusio")</f>
        <v>@jasusio</v>
      </c>
      <c r="C1210" s="8" t="s">
        <v>6128</v>
      </c>
      <c r="D1210" s="9" t="s">
        <v>6129</v>
      </c>
      <c r="E1210" s="10" t="str">
        <f>HYPERLINK("https://twitter.com/jasusio/status/1065248860040323072","1065248860040323072")</f>
        <v>1065248860040323072</v>
      </c>
      <c r="F1210" s="11" t="s">
        <v>557</v>
      </c>
      <c r="G1210" s="12"/>
      <c r="H1210" s="12"/>
      <c r="I1210" s="13">
        <v>4</v>
      </c>
      <c r="J1210" s="13">
        <v>3</v>
      </c>
      <c r="K1210" s="14" t="str">
        <f>HYPERLINK("http://twitter.com","Twitter Web Client")</f>
        <v>Twitter Web Client</v>
      </c>
      <c r="L1210" s="13">
        <v>5782</v>
      </c>
      <c r="M1210" s="13">
        <v>5565</v>
      </c>
      <c r="N1210" s="13">
        <v>46</v>
      </c>
      <c r="O1210" s="15"/>
      <c r="P1210" s="6">
        <v>40224.10428240741</v>
      </c>
      <c r="Q1210" s="16" t="s">
        <v>37</v>
      </c>
      <c r="R1210" s="17" t="s">
        <v>6130</v>
      </c>
      <c r="S1210" s="12"/>
      <c r="T1210" s="12"/>
      <c r="U1210" s="10" t="str">
        <f>HYPERLINK("https://pbs.twimg.com/profile_images/2273055900/xxsw04vb6r66zjxlj4o0.png","View")</f>
        <v>View</v>
      </c>
    </row>
    <row r="1211" spans="1:21" ht="20.399999999999999">
      <c r="A1211" s="6">
        <v>43425.635636574079</v>
      </c>
      <c r="B1211" s="7" t="str">
        <f>HYPERLINK("https://twitter.com/jesuusperezz","@jesuusperezz")</f>
        <v>@jesuusperezz</v>
      </c>
      <c r="C1211" s="8" t="s">
        <v>3008</v>
      </c>
      <c r="D1211" s="9" t="s">
        <v>3009</v>
      </c>
      <c r="E1211" s="10" t="str">
        <f>HYPERLINK("https://twitter.com/jesuusperezz/status/1065247289332113408","1065247289332113408")</f>
        <v>1065247289332113408</v>
      </c>
      <c r="F1211" s="12"/>
      <c r="G1211" s="12"/>
      <c r="H1211" s="12"/>
      <c r="I1211" s="13">
        <v>0</v>
      </c>
      <c r="J1211" s="13">
        <v>1</v>
      </c>
      <c r="K1211" s="14" t="str">
        <f>HYPERLINK("http://twitter.com/download/android","Twitter for Android")</f>
        <v>Twitter for Android</v>
      </c>
      <c r="L1211" s="13">
        <v>53</v>
      </c>
      <c r="M1211" s="13">
        <v>281</v>
      </c>
      <c r="N1211" s="13">
        <v>0</v>
      </c>
      <c r="O1211" s="15"/>
      <c r="P1211" s="6">
        <v>43349.693402777775</v>
      </c>
      <c r="Q1211" s="16" t="s">
        <v>1796</v>
      </c>
      <c r="R1211" s="17" t="s">
        <v>3010</v>
      </c>
      <c r="S1211" s="12"/>
      <c r="T1211" s="12"/>
      <c r="U1211" s="10" t="str">
        <f>HYPERLINK("https://pbs.twimg.com/profile_images/1037712745221775361/icgMyGvZ.jpg","View")</f>
        <v>View</v>
      </c>
    </row>
    <row r="1212" spans="1:21" ht="40.799999999999997">
      <c r="A1212" s="6">
        <v>43425.635416666672</v>
      </c>
      <c r="B1212" s="7" t="str">
        <f>HYPERLINK("https://twitter.com/El_Plural","@El_Plural")</f>
        <v>@El_Plural</v>
      </c>
      <c r="C1212" s="8" t="s">
        <v>5159</v>
      </c>
      <c r="D1212" s="9" t="s">
        <v>5737</v>
      </c>
      <c r="E1212" s="10" t="str">
        <f>HYPERLINK("https://twitter.com/El_Plural/status/1065247208478556163","1065247208478556163")</f>
        <v>1065247208478556163</v>
      </c>
      <c r="F1212" s="11" t="s">
        <v>557</v>
      </c>
      <c r="G1212" s="12"/>
      <c r="H1212" s="12"/>
      <c r="I1212" s="13">
        <v>22</v>
      </c>
      <c r="J1212" s="13">
        <v>10</v>
      </c>
      <c r="K1212" s="14" t="str">
        <f>HYPERLINK("https://about.twitter.com/products/tweetdeck","TweetDeck")</f>
        <v>TweetDeck</v>
      </c>
      <c r="L1212" s="13">
        <v>71891</v>
      </c>
      <c r="M1212" s="13">
        <v>1644</v>
      </c>
      <c r="N1212" s="13">
        <v>2012</v>
      </c>
      <c r="O1212" s="15"/>
      <c r="P1212" s="6">
        <v>40351.51053240741</v>
      </c>
      <c r="Q1212" s="16" t="s">
        <v>37</v>
      </c>
      <c r="R1212" s="17" t="s">
        <v>5162</v>
      </c>
      <c r="S1212" s="11" t="s">
        <v>5163</v>
      </c>
      <c r="T1212" s="12"/>
      <c r="U1212" s="10" t="str">
        <f>HYPERLINK("https://pbs.twimg.com/profile_images/1017707018138857473/kUt8X2tn.jpg","View")</f>
        <v>View</v>
      </c>
    </row>
    <row r="1213" spans="1:21" ht="30.6">
      <c r="A1213" s="6">
        <v>43425.634999999995</v>
      </c>
      <c r="B1213" s="7" t="str">
        <f>HYPERLINK("https://twitter.com/cajainas","@cajainas")</f>
        <v>@cajainas</v>
      </c>
      <c r="C1213" s="8" t="s">
        <v>6131</v>
      </c>
      <c r="D1213" s="9" t="s">
        <v>6132</v>
      </c>
      <c r="E1213" s="10" t="str">
        <f>HYPERLINK("https://twitter.com/cajainas/status/1065247056867049472","1065247056867049472")</f>
        <v>1065247056867049472</v>
      </c>
      <c r="F1213" s="12"/>
      <c r="G1213" s="12"/>
      <c r="H1213" s="12"/>
      <c r="I1213" s="13">
        <v>0</v>
      </c>
      <c r="J1213" s="13">
        <v>1</v>
      </c>
      <c r="K1213" s="14" t="str">
        <f>HYPERLINK("http://twitter.com/download/android","Twitter for Android")</f>
        <v>Twitter for Android</v>
      </c>
      <c r="L1213" s="13">
        <v>323</v>
      </c>
      <c r="M1213" s="13">
        <v>687</v>
      </c>
      <c r="N1213" s="13">
        <v>9</v>
      </c>
      <c r="O1213" s="15"/>
      <c r="P1213" s="6">
        <v>40116.911689814813</v>
      </c>
      <c r="Q1213" s="16" t="s">
        <v>6133</v>
      </c>
      <c r="R1213" s="17" t="s">
        <v>6134</v>
      </c>
      <c r="S1213" s="11" t="s">
        <v>6135</v>
      </c>
      <c r="T1213" s="12"/>
      <c r="U1213" s="10" t="str">
        <f>HYPERLINK("https://pbs.twimg.com/profile_images/958666223285305346/GQQoCWw0.jpg","View")</f>
        <v>View</v>
      </c>
    </row>
    <row r="1214" spans="1:21" ht="40.799999999999997">
      <c r="A1214" s="6">
        <v>43425.633634259255</v>
      </c>
      <c r="B1214" s="7" t="str">
        <f>HYPERLINK("https://twitter.com/SergioRomeroJ","@SergioRomeroJ")</f>
        <v>@SergioRomeroJ</v>
      </c>
      <c r="C1214" s="8" t="s">
        <v>6136</v>
      </c>
      <c r="D1214" s="9" t="s">
        <v>5033</v>
      </c>
      <c r="E1214" s="10" t="str">
        <f>HYPERLINK("https://twitter.com/SergioRomeroJ/status/1065246562765414401","1065246562765414401")</f>
        <v>1065246562765414401</v>
      </c>
      <c r="F1214" s="11" t="s">
        <v>5034</v>
      </c>
      <c r="G1214" s="12"/>
      <c r="H1214" s="12"/>
      <c r="I1214" s="13">
        <v>1</v>
      </c>
      <c r="J1214" s="13">
        <v>1</v>
      </c>
      <c r="K1214" s="14" t="str">
        <f>HYPERLINK("http://www.facebook.com/twitter","Facebook")</f>
        <v>Facebook</v>
      </c>
      <c r="L1214" s="13">
        <v>6248</v>
      </c>
      <c r="M1214" s="13">
        <v>1787</v>
      </c>
      <c r="N1214" s="13">
        <v>90</v>
      </c>
      <c r="O1214" s="18" t="s">
        <v>36</v>
      </c>
      <c r="P1214" s="6">
        <v>40356.420023148152</v>
      </c>
      <c r="Q1214" s="16" t="s">
        <v>6137</v>
      </c>
      <c r="R1214" s="17" t="s">
        <v>6138</v>
      </c>
      <c r="S1214" s="16" t="s">
        <v>6139</v>
      </c>
      <c r="T1214" s="12"/>
      <c r="U1214" s="10" t="str">
        <f>HYPERLINK("https://pbs.twimg.com/profile_images/1062011293790539776/g7Ay2CiG.jpg","View")</f>
        <v>View</v>
      </c>
    </row>
    <row r="1215" spans="1:21" ht="40.799999999999997">
      <c r="A1215" s="6">
        <v>43425.63354166667</v>
      </c>
      <c r="B1215" s="7" t="str">
        <f>HYPERLINK("https://twitter.com/filsofovirtual1","@filsofovirtual1")</f>
        <v>@filsofovirtual1</v>
      </c>
      <c r="C1215" s="8" t="s">
        <v>6140</v>
      </c>
      <c r="D1215" s="9" t="s">
        <v>6141</v>
      </c>
      <c r="E1215" s="10" t="str">
        <f>HYPERLINK("https://twitter.com/filsofovirtual1/status/1065246529311641600","1065246529311641600")</f>
        <v>1065246529311641600</v>
      </c>
      <c r="F1215" s="12"/>
      <c r="G1215" s="12"/>
      <c r="H1215" s="12"/>
      <c r="I1215" s="13">
        <v>0</v>
      </c>
      <c r="J1215" s="13">
        <v>0</v>
      </c>
      <c r="K1215" s="14" t="str">
        <f>HYPERLINK("https://mobile.twitter.com","Twitter Lite")</f>
        <v>Twitter Lite</v>
      </c>
      <c r="L1215" s="13">
        <v>0</v>
      </c>
      <c r="M1215" s="13">
        <v>7</v>
      </c>
      <c r="N1215" s="13">
        <v>0</v>
      </c>
      <c r="O1215" s="15"/>
      <c r="P1215" s="6">
        <v>43422.627928240741</v>
      </c>
      <c r="Q1215" s="16" t="s">
        <v>6142</v>
      </c>
      <c r="R1215" s="17" t="s">
        <v>6143</v>
      </c>
      <c r="S1215" s="12"/>
      <c r="T1215" s="12"/>
      <c r="U1215" s="10" t="str">
        <f>HYPERLINK("https://pbs.twimg.com/profile_images/1064162060874014721/-I6vcZ8p.jpg","View")</f>
        <v>View</v>
      </c>
    </row>
    <row r="1216" spans="1:21" ht="30.6">
      <c r="A1216" s="6">
        <v>43425.631944444445</v>
      </c>
      <c r="B1216" s="7" t="str">
        <f>HYPERLINK("https://twitter.com/Tremending","@Tremending")</f>
        <v>@Tremending</v>
      </c>
      <c r="C1216" s="8" t="s">
        <v>1962</v>
      </c>
      <c r="D1216" s="9" t="s">
        <v>6144</v>
      </c>
      <c r="E1216" s="10" t="str">
        <f>HYPERLINK("https://twitter.com/Tremending/status/1065245949956681728","1065245949956681728")</f>
        <v>1065245949956681728</v>
      </c>
      <c r="F1216" s="11" t="s">
        <v>495</v>
      </c>
      <c r="G1216" s="11" t="s">
        <v>6145</v>
      </c>
      <c r="H1216" s="12"/>
      <c r="I1216" s="13">
        <v>4</v>
      </c>
      <c r="J1216" s="13">
        <v>10</v>
      </c>
      <c r="K1216" s="14" t="str">
        <f>HYPERLINK("https://about.twitter.com/products/tweetdeck","TweetDeck")</f>
        <v>TweetDeck</v>
      </c>
      <c r="L1216" s="13">
        <v>54663</v>
      </c>
      <c r="M1216" s="13">
        <v>4</v>
      </c>
      <c r="N1216" s="13">
        <v>522</v>
      </c>
      <c r="O1216" s="18" t="s">
        <v>36</v>
      </c>
      <c r="P1216" s="6">
        <v>41765.962523148148</v>
      </c>
      <c r="Q1216" s="16" t="s">
        <v>1967</v>
      </c>
      <c r="R1216" s="17" t="s">
        <v>1968</v>
      </c>
      <c r="S1216" s="11" t="s">
        <v>1969</v>
      </c>
      <c r="T1216" s="12"/>
      <c r="U1216" s="10" t="str">
        <f>HYPERLINK("https://pbs.twimg.com/profile_images/801030804914704384/GSMNihQ_.jpg","View")</f>
        <v>View</v>
      </c>
    </row>
    <row r="1217" spans="1:21" ht="51">
      <c r="A1217" s="6">
        <v>43425.631192129629</v>
      </c>
      <c r="B1217" s="7" t="str">
        <f>HYPERLINK("https://twitter.com/AdrianBarbon","@AdrianBarbon")</f>
        <v>@AdrianBarbon</v>
      </c>
      <c r="C1217" s="8" t="s">
        <v>6146</v>
      </c>
      <c r="D1217" s="9" t="s">
        <v>6147</v>
      </c>
      <c r="E1217" s="10" t="str">
        <f>HYPERLINK("https://twitter.com/AdrianBarbon/status/1065245678555852800","1065245678555852800")</f>
        <v>1065245678555852800</v>
      </c>
      <c r="F1217" s="12"/>
      <c r="G1217" s="12"/>
      <c r="H1217" s="12"/>
      <c r="I1217" s="13">
        <v>39</v>
      </c>
      <c r="J1217" s="13">
        <v>67</v>
      </c>
      <c r="K1217" s="14" t="str">
        <f>HYPERLINK("http://twitter.com/download/iphone","Twitter for iPhone")</f>
        <v>Twitter for iPhone</v>
      </c>
      <c r="L1217" s="13">
        <v>4516</v>
      </c>
      <c r="M1217" s="13">
        <v>1809</v>
      </c>
      <c r="N1217" s="13">
        <v>67</v>
      </c>
      <c r="O1217" s="18" t="s">
        <v>36</v>
      </c>
      <c r="P1217" s="6">
        <v>40484.83079861111</v>
      </c>
      <c r="Q1217" s="16" t="s">
        <v>6148</v>
      </c>
      <c r="R1217" s="17" t="s">
        <v>6149</v>
      </c>
      <c r="S1217" s="11" t="s">
        <v>6150</v>
      </c>
      <c r="T1217" s="12"/>
      <c r="U1217" s="10" t="str">
        <f>HYPERLINK("https://pbs.twimg.com/profile_images/1063506560608026624/nxSWHSzk.jpg","View")</f>
        <v>View</v>
      </c>
    </row>
    <row r="1218" spans="1:21" ht="20.399999999999999">
      <c r="A1218" s="6">
        <v>43425.630659722221</v>
      </c>
      <c r="B1218" s="7" t="str">
        <f>HYPERLINK("https://twitter.com/Javier_Diego","@Javier_Diego")</f>
        <v>@Javier_Diego</v>
      </c>
      <c r="C1218" s="8" t="s">
        <v>6151</v>
      </c>
      <c r="D1218" s="9" t="s">
        <v>1963</v>
      </c>
      <c r="E1218" s="10" t="str">
        <f>HYPERLINK("https://twitter.com/Javier_Diego/status/1065245484594446336","1065245484594446336")</f>
        <v>1065245484594446336</v>
      </c>
      <c r="F1218" s="11" t="s">
        <v>6152</v>
      </c>
      <c r="G1218" s="12"/>
      <c r="H1218" s="12"/>
      <c r="I1218" s="13">
        <v>0</v>
      </c>
      <c r="J1218" s="13">
        <v>0</v>
      </c>
      <c r="K1218" s="14" t="str">
        <f>HYPERLINK("http://www.facebook.com/twitter","Facebook")</f>
        <v>Facebook</v>
      </c>
      <c r="L1218" s="13">
        <v>1517</v>
      </c>
      <c r="M1218" s="13">
        <v>2351</v>
      </c>
      <c r="N1218" s="13">
        <v>69</v>
      </c>
      <c r="O1218" s="15"/>
      <c r="P1218" s="6">
        <v>40256.82194444444</v>
      </c>
      <c r="Q1218" s="12"/>
      <c r="R1218" s="17" t="s">
        <v>6153</v>
      </c>
      <c r="S1218" s="12"/>
      <c r="T1218" s="12"/>
      <c r="U1218" s="10" t="str">
        <f>HYPERLINK("https://pbs.twimg.com/profile_images/912668751161692160/8k-oFK2z.jpg","View")</f>
        <v>View</v>
      </c>
    </row>
    <row r="1219" spans="1:21" ht="30.6">
      <c r="A1219" s="6">
        <v>43425.630381944444</v>
      </c>
      <c r="B1219" s="7" t="str">
        <f>HYPERLINK("https://twitter.com/nabilu2","@nabilu2")</f>
        <v>@nabilu2</v>
      </c>
      <c r="C1219" s="8" t="s">
        <v>6154</v>
      </c>
      <c r="D1219" s="9" t="s">
        <v>1697</v>
      </c>
      <c r="E1219" s="10" t="str">
        <f>HYPERLINK("https://twitter.com/nabilu2/status/1065245385105571840","1065245385105571840")</f>
        <v>1065245385105571840</v>
      </c>
      <c r="F1219" s="11" t="s">
        <v>1700</v>
      </c>
      <c r="G1219" s="12"/>
      <c r="H1219" s="12"/>
      <c r="I1219" s="13">
        <v>0</v>
      </c>
      <c r="J1219" s="13">
        <v>0</v>
      </c>
      <c r="K1219" s="14" t="str">
        <f>HYPERLINK("http://twitter.com","Twitter Web Client")</f>
        <v>Twitter Web Client</v>
      </c>
      <c r="L1219" s="13">
        <v>3513</v>
      </c>
      <c r="M1219" s="13">
        <v>4625</v>
      </c>
      <c r="N1219" s="13">
        <v>58</v>
      </c>
      <c r="O1219" s="15"/>
      <c r="P1219" s="6">
        <v>40612.685763888891</v>
      </c>
      <c r="Q1219" s="16" t="s">
        <v>6155</v>
      </c>
      <c r="R1219" s="17" t="s">
        <v>6156</v>
      </c>
      <c r="S1219" s="12"/>
      <c r="T1219" s="12"/>
      <c r="U1219" s="10" t="str">
        <f>HYPERLINK("https://pbs.twimg.com/profile_images/1026885573326331904/uI2oim82.jpg","View")</f>
        <v>View</v>
      </c>
    </row>
    <row r="1220" spans="1:21" ht="40.799999999999997">
      <c r="A1220" s="6">
        <v>43425.629942129628</v>
      </c>
      <c r="B1220" s="7" t="str">
        <f>HYPERLINK("https://twitter.com/Patri6","@Patri6")</f>
        <v>@Patri6</v>
      </c>
      <c r="C1220" s="8" t="s">
        <v>3011</v>
      </c>
      <c r="D1220" s="9" t="s">
        <v>3012</v>
      </c>
      <c r="E1220" s="10" t="str">
        <f>HYPERLINK("https://twitter.com/Patri6/status/1065245223788445696","1065245223788445696")</f>
        <v>1065245223788445696</v>
      </c>
      <c r="F1220" s="12"/>
      <c r="G1220" s="12"/>
      <c r="H1220" s="12"/>
      <c r="I1220" s="13">
        <v>0</v>
      </c>
      <c r="J1220" s="13">
        <v>1</v>
      </c>
      <c r="K1220" s="14" t="str">
        <f t="shared" ref="K1220:K1221" si="254">HYPERLINK("http://twitter.com/download/android","Twitter for Android")</f>
        <v>Twitter for Android</v>
      </c>
      <c r="L1220" s="13">
        <v>517</v>
      </c>
      <c r="M1220" s="13">
        <v>314</v>
      </c>
      <c r="N1220" s="13">
        <v>25</v>
      </c>
      <c r="O1220" s="15"/>
      <c r="P1220" s="6">
        <v>40206.109456018516</v>
      </c>
      <c r="Q1220" s="16" t="s">
        <v>3013</v>
      </c>
      <c r="R1220" s="17" t="s">
        <v>3014</v>
      </c>
      <c r="S1220" s="11" t="s">
        <v>3015</v>
      </c>
      <c r="T1220" s="12"/>
      <c r="U1220" s="10" t="str">
        <f>HYPERLINK("https://pbs.twimg.com/profile_images/1061045550521466880/BnDMSLEA.jpg","View")</f>
        <v>View</v>
      </c>
    </row>
    <row r="1221" spans="1:21" ht="61.2">
      <c r="A1221" s="6">
        <v>43425.629756944443</v>
      </c>
      <c r="B1221" s="7" t="str">
        <f>HYPERLINK("https://twitter.com/NinetaCat1","@NinetaCat1")</f>
        <v>@NinetaCat1</v>
      </c>
      <c r="C1221" s="8" t="s">
        <v>6157</v>
      </c>
      <c r="D1221" s="9" t="s">
        <v>6158</v>
      </c>
      <c r="E1221" s="10" t="str">
        <f>HYPERLINK("https://twitter.com/NinetaCat1/status/1065245155500965888","1065245155500965888")</f>
        <v>1065245155500965888</v>
      </c>
      <c r="F1221" s="16" t="s">
        <v>2995</v>
      </c>
      <c r="G1221" s="12"/>
      <c r="H1221" s="12"/>
      <c r="I1221" s="13">
        <v>1</v>
      </c>
      <c r="J1221" s="13">
        <v>3</v>
      </c>
      <c r="K1221" s="14" t="str">
        <f t="shared" si="254"/>
        <v>Twitter for Android</v>
      </c>
      <c r="L1221" s="13">
        <v>2058</v>
      </c>
      <c r="M1221" s="13">
        <v>2293</v>
      </c>
      <c r="N1221" s="13">
        <v>1</v>
      </c>
      <c r="O1221" s="15"/>
      <c r="P1221" s="6">
        <v>43340.568912037037</v>
      </c>
      <c r="Q1221" s="16" t="s">
        <v>6159</v>
      </c>
      <c r="R1221" s="17" t="s">
        <v>6160</v>
      </c>
      <c r="S1221" s="12"/>
      <c r="T1221" s="12"/>
      <c r="U1221" s="10" t="str">
        <f>HYPERLINK("https://pbs.twimg.com/profile_images/1034419144484118528/7aM24-gg.jpg","View")</f>
        <v>View</v>
      </c>
    </row>
    <row r="1222" spans="1:21" ht="40.799999999999997">
      <c r="A1222" s="6">
        <v>43425.628761574073</v>
      </c>
      <c r="B1222" s="7" t="str">
        <f>HYPERLINK("https://twitter.com/psoefondon","@psoefondon")</f>
        <v>@psoefondon</v>
      </c>
      <c r="C1222" s="8" t="s">
        <v>6095</v>
      </c>
      <c r="D1222" s="9" t="s">
        <v>6096</v>
      </c>
      <c r="E1222" s="10" t="str">
        <f>HYPERLINK("https://twitter.com/psoefondon/status/1065244796829270016","1065244796829270016")</f>
        <v>1065244796829270016</v>
      </c>
      <c r="F1222" s="11" t="s">
        <v>6161</v>
      </c>
      <c r="G1222" s="12"/>
      <c r="H1222" s="12"/>
      <c r="I1222" s="13">
        <v>0</v>
      </c>
      <c r="J1222" s="13">
        <v>0</v>
      </c>
      <c r="K1222" s="14" t="str">
        <f>HYPERLINK("http://www.facebook.com/twitter","Facebook")</f>
        <v>Facebook</v>
      </c>
      <c r="L1222" s="13">
        <v>184</v>
      </c>
      <c r="M1222" s="13">
        <v>229</v>
      </c>
      <c r="N1222" s="13">
        <v>1</v>
      </c>
      <c r="O1222" s="15"/>
      <c r="P1222" s="6">
        <v>41014.53770833333</v>
      </c>
      <c r="Q1222" s="16" t="s">
        <v>6098</v>
      </c>
      <c r="R1222" s="17" t="s">
        <v>6099</v>
      </c>
      <c r="S1222" s="11" t="s">
        <v>6100</v>
      </c>
      <c r="T1222" s="12"/>
      <c r="U1222" s="10" t="str">
        <f>HYPERLINK("https://pbs.twimg.com/profile_images/1063771654877261824/IyQrANUw.jpg","View")</f>
        <v>View</v>
      </c>
    </row>
    <row r="1223" spans="1:21" ht="20.399999999999999">
      <c r="A1223" s="6">
        <v>43425.62835648148</v>
      </c>
      <c r="B1223" s="7" t="str">
        <f>HYPERLINK("https://twitter.com/PBMarbeMalaga","@PBMarbeMalaga")</f>
        <v>@PBMarbeMalaga</v>
      </c>
      <c r="C1223" s="8" t="s">
        <v>2068</v>
      </c>
      <c r="D1223" s="9" t="s">
        <v>6162</v>
      </c>
      <c r="E1223" s="10" t="str">
        <f>HYPERLINK("https://twitter.com/PBMarbeMalaga/status/1065244648241803264","1065244648241803264")</f>
        <v>1065244648241803264</v>
      </c>
      <c r="F1223" s="11" t="s">
        <v>6163</v>
      </c>
      <c r="G1223" s="12"/>
      <c r="H1223" s="12"/>
      <c r="I1223" s="13">
        <v>0</v>
      </c>
      <c r="J1223" s="13">
        <v>0</v>
      </c>
      <c r="K1223" s="14" t="str">
        <f>HYPERLINK("https://javitang.ddns.net","PBMarbeMalaga")</f>
        <v>PBMarbeMalaga</v>
      </c>
      <c r="L1223" s="13">
        <v>1222</v>
      </c>
      <c r="M1223" s="13">
        <v>1245</v>
      </c>
      <c r="N1223" s="13">
        <v>2</v>
      </c>
      <c r="O1223" s="15"/>
      <c r="P1223" s="6">
        <v>43149.814074074078</v>
      </c>
      <c r="Q1223" s="16" t="s">
        <v>2073</v>
      </c>
      <c r="R1223" s="17" t="s">
        <v>2074</v>
      </c>
      <c r="S1223" s="12"/>
      <c r="T1223" s="12"/>
      <c r="U1223" s="10" t="str">
        <f>HYPERLINK("https://pbs.twimg.com/profile_images/965296691145531392/sAFnfUu2.jpg","View")</f>
        <v>View</v>
      </c>
    </row>
    <row r="1224" spans="1:21" ht="20.399999999999999">
      <c r="A1224" s="6">
        <v>43425.628310185188</v>
      </c>
      <c r="B1224" s="7" t="str">
        <f>HYPERLINK("https://twitter.com/pimpollo64","@pimpollo64")</f>
        <v>@pimpollo64</v>
      </c>
      <c r="C1224" s="8" t="s">
        <v>6164</v>
      </c>
      <c r="D1224" s="9" t="s">
        <v>4528</v>
      </c>
      <c r="E1224" s="10" t="str">
        <f>HYPERLINK("https://twitter.com/pimpollo64/status/1065244632118951936","1065244632118951936")</f>
        <v>1065244632118951936</v>
      </c>
      <c r="F1224" s="11" t="s">
        <v>1228</v>
      </c>
      <c r="G1224" s="12"/>
      <c r="H1224" s="12"/>
      <c r="I1224" s="13">
        <v>0</v>
      </c>
      <c r="J1224" s="13">
        <v>0</v>
      </c>
      <c r="K1224" s="14" t="str">
        <f>HYPERLINK("http://www.facebook.com/twitter","Facebook")</f>
        <v>Facebook</v>
      </c>
      <c r="L1224" s="13">
        <v>255</v>
      </c>
      <c r="M1224" s="13">
        <v>1150</v>
      </c>
      <c r="N1224" s="13">
        <v>0</v>
      </c>
      <c r="O1224" s="15"/>
      <c r="P1224" s="6">
        <v>41051.936620370368</v>
      </c>
      <c r="Q1224" s="12"/>
      <c r="R1224" s="17" t="s">
        <v>6165</v>
      </c>
      <c r="S1224" s="12"/>
      <c r="T1224" s="12"/>
      <c r="U1224" s="10" t="str">
        <f>HYPERLINK("https://pbs.twimg.com/profile_images/535166849919774720/mNisO1bQ.jpeg","View")</f>
        <v>View</v>
      </c>
    </row>
    <row r="1225" spans="1:21" ht="81.599999999999994">
      <c r="A1225" s="6">
        <v>43425.627893518518</v>
      </c>
      <c r="B1225" s="7" t="str">
        <f>HYPERLINK("https://twitter.com/sernieto14","@sernieto14")</f>
        <v>@sernieto14</v>
      </c>
      <c r="C1225" s="8" t="s">
        <v>6166</v>
      </c>
      <c r="D1225" s="9" t="s">
        <v>6167</v>
      </c>
      <c r="E1225" s="10" t="str">
        <f>HYPERLINK("https://twitter.com/sernieto14/status/1065244482793287680","1065244482793287680")</f>
        <v>1065244482793287680</v>
      </c>
      <c r="F1225" s="16" t="s">
        <v>64</v>
      </c>
      <c r="G1225" s="11" t="s">
        <v>65</v>
      </c>
      <c r="H1225" s="12"/>
      <c r="I1225" s="13">
        <v>1</v>
      </c>
      <c r="J1225" s="13">
        <v>2</v>
      </c>
      <c r="K1225" s="14" t="str">
        <f t="shared" ref="K1225:K1227" si="255">HYPERLINK("http://twitter.com/download/iphone","Twitter for iPhone")</f>
        <v>Twitter for iPhone</v>
      </c>
      <c r="L1225" s="13">
        <v>196</v>
      </c>
      <c r="M1225" s="13">
        <v>370</v>
      </c>
      <c r="N1225" s="13">
        <v>1</v>
      </c>
      <c r="O1225" s="15"/>
      <c r="P1225" s="6">
        <v>42482.490578703699</v>
      </c>
      <c r="Q1225" s="16" t="s">
        <v>6168</v>
      </c>
      <c r="R1225" s="17" t="s">
        <v>6169</v>
      </c>
      <c r="S1225" s="12"/>
      <c r="T1225" s="12"/>
      <c r="U1225" s="10" t="str">
        <f>HYPERLINK("https://pbs.twimg.com/profile_images/996079148568317954/_jMpY9EH.jpg","View")</f>
        <v>View</v>
      </c>
    </row>
    <row r="1226" spans="1:21" ht="40.799999999999997">
      <c r="A1226" s="6">
        <v>43425.62699074074</v>
      </c>
      <c r="B1226" s="7" t="str">
        <f>HYPERLINK("https://twitter.com/nes_ka07","@nes_ka07")</f>
        <v>@nes_ka07</v>
      </c>
      <c r="C1226" s="8" t="s">
        <v>6170</v>
      </c>
      <c r="D1226" s="9" t="s">
        <v>6171</v>
      </c>
      <c r="E1226" s="10" t="str">
        <f>HYPERLINK("https://twitter.com/nes_ka07/status/1065244154740072453","1065244154740072453")</f>
        <v>1065244154740072453</v>
      </c>
      <c r="F1226" s="12"/>
      <c r="G1226" s="12"/>
      <c r="H1226" s="12"/>
      <c r="I1226" s="13">
        <v>1</v>
      </c>
      <c r="J1226" s="13">
        <v>6</v>
      </c>
      <c r="K1226" s="14" t="str">
        <f t="shared" si="255"/>
        <v>Twitter for iPhone</v>
      </c>
      <c r="L1226" s="13">
        <v>1337</v>
      </c>
      <c r="M1226" s="13">
        <v>174</v>
      </c>
      <c r="N1226" s="13">
        <v>31</v>
      </c>
      <c r="O1226" s="15"/>
      <c r="P1226" s="6">
        <v>41327.77008101852</v>
      </c>
      <c r="Q1226" s="16" t="s">
        <v>1786</v>
      </c>
      <c r="R1226" s="17" t="s">
        <v>6172</v>
      </c>
      <c r="S1226" s="12"/>
      <c r="T1226" s="12"/>
      <c r="U1226" s="10" t="str">
        <f>HYPERLINK("https://pbs.twimg.com/profile_images/835249922752593920/-8lihN8P.jpg","View")</f>
        <v>View</v>
      </c>
    </row>
    <row r="1227" spans="1:21" ht="40.799999999999997">
      <c r="A1227" s="6">
        <v>43425.626666666663</v>
      </c>
      <c r="B1227" s="7" t="str">
        <f>HYPERLINK("https://twitter.com/AdrianBarbon","@AdrianBarbon")</f>
        <v>@AdrianBarbon</v>
      </c>
      <c r="C1227" s="8" t="s">
        <v>6146</v>
      </c>
      <c r="D1227" s="9" t="s">
        <v>6173</v>
      </c>
      <c r="E1227" s="10" t="str">
        <f>HYPERLINK("https://twitter.com/AdrianBarbon/status/1065244036045447169","1065244036045447169")</f>
        <v>1065244036045447169</v>
      </c>
      <c r="F1227" s="16" t="s">
        <v>2995</v>
      </c>
      <c r="G1227" s="12"/>
      <c r="H1227" s="12"/>
      <c r="I1227" s="13">
        <v>33</v>
      </c>
      <c r="J1227" s="13">
        <v>45</v>
      </c>
      <c r="K1227" s="14" t="str">
        <f t="shared" si="255"/>
        <v>Twitter for iPhone</v>
      </c>
      <c r="L1227" s="13">
        <v>4516</v>
      </c>
      <c r="M1227" s="13">
        <v>1809</v>
      </c>
      <c r="N1227" s="13">
        <v>67</v>
      </c>
      <c r="O1227" s="18" t="s">
        <v>36</v>
      </c>
      <c r="P1227" s="6">
        <v>40484.83079861111</v>
      </c>
      <c r="Q1227" s="16" t="s">
        <v>6148</v>
      </c>
      <c r="R1227" s="17" t="s">
        <v>6149</v>
      </c>
      <c r="S1227" s="11" t="s">
        <v>6150</v>
      </c>
      <c r="T1227" s="12"/>
      <c r="U1227" s="10" t="str">
        <f>HYPERLINK("https://pbs.twimg.com/profile_images/1063506560608026624/nxSWHSzk.jpg","View")</f>
        <v>View</v>
      </c>
    </row>
    <row r="1228" spans="1:21" ht="30.6">
      <c r="A1228" s="6">
        <v>43425.626550925925</v>
      </c>
      <c r="B1228" s="7" t="str">
        <f>HYPERLINK("https://twitter.com/ExpositoOrteg","@ExpositoOrteg")</f>
        <v>@ExpositoOrteg</v>
      </c>
      <c r="C1228" s="8" t="s">
        <v>3018</v>
      </c>
      <c r="D1228" s="9" t="s">
        <v>3019</v>
      </c>
      <c r="E1228" s="10" t="str">
        <f>HYPERLINK("https://twitter.com/ExpositoOrteg/status/1065243997474627584","1065243997474627584")</f>
        <v>1065243997474627584</v>
      </c>
      <c r="F1228" s="12"/>
      <c r="G1228" s="11" t="s">
        <v>3020</v>
      </c>
      <c r="H1228" s="12"/>
      <c r="I1228" s="13">
        <v>17</v>
      </c>
      <c r="J1228" s="13">
        <v>12</v>
      </c>
      <c r="K1228" s="14" t="str">
        <f t="shared" ref="K1228:K1229" si="256">HYPERLINK("http://twitter.com/download/android","Twitter for Android")</f>
        <v>Twitter for Android</v>
      </c>
      <c r="L1228" s="13">
        <v>19680</v>
      </c>
      <c r="M1228" s="13">
        <v>12915</v>
      </c>
      <c r="N1228" s="13">
        <v>102</v>
      </c>
      <c r="O1228" s="15"/>
      <c r="P1228" s="6">
        <v>41567.481932870374</v>
      </c>
      <c r="Q1228" s="16" t="s">
        <v>3023</v>
      </c>
      <c r="R1228" s="17" t="s">
        <v>3024</v>
      </c>
      <c r="S1228" s="12"/>
      <c r="T1228" s="12"/>
      <c r="U1228" s="10" t="str">
        <f>HYPERLINK("https://pbs.twimg.com/profile_images/1015569711843512320/N5iD7fWY.jpg","View")</f>
        <v>View</v>
      </c>
    </row>
    <row r="1229" spans="1:21" ht="20.399999999999999">
      <c r="A1229" s="6">
        <v>43425.626481481479</v>
      </c>
      <c r="B1229" s="7" t="str">
        <f>HYPERLINK("https://twitter.com/laredjuridica","@laredjuridica")</f>
        <v>@laredjuridica</v>
      </c>
      <c r="C1229" s="8" t="s">
        <v>6174</v>
      </c>
      <c r="D1229" s="9" t="s">
        <v>6175</v>
      </c>
      <c r="E1229" s="10" t="str">
        <f>HYPERLINK("https://twitter.com/laredjuridica/status/1065243971964870656","1065243971964870656")</f>
        <v>1065243971964870656</v>
      </c>
      <c r="F1229" s="11" t="s">
        <v>6176</v>
      </c>
      <c r="G1229" s="12"/>
      <c r="H1229" s="12"/>
      <c r="I1229" s="13">
        <v>0</v>
      </c>
      <c r="J1229" s="13">
        <v>0</v>
      </c>
      <c r="K1229" s="14" t="str">
        <f t="shared" si="256"/>
        <v>Twitter for Android</v>
      </c>
      <c r="L1229" s="13">
        <v>10716</v>
      </c>
      <c r="M1229" s="13">
        <v>1822</v>
      </c>
      <c r="N1229" s="13">
        <v>221</v>
      </c>
      <c r="O1229" s="15"/>
      <c r="P1229" s="6">
        <v>40683.475138888891</v>
      </c>
      <c r="Q1229" s="16" t="s">
        <v>6177</v>
      </c>
      <c r="R1229" s="17" t="s">
        <v>6178</v>
      </c>
      <c r="S1229" s="11" t="s">
        <v>6179</v>
      </c>
      <c r="T1229" s="12"/>
      <c r="U1229" s="10" t="str">
        <f>HYPERLINK("https://pbs.twimg.com/profile_images/972034023429111808/rVQyXJcb.jpg","View")</f>
        <v>View</v>
      </c>
    </row>
    <row r="1230" spans="1:21" ht="51">
      <c r="A1230" s="6">
        <v>43425.626388888893</v>
      </c>
      <c r="B1230" s="7" t="str">
        <f>HYPERLINK("https://twitter.com/bitMomentum","@bitMomentum")</f>
        <v>@bitMomentum</v>
      </c>
      <c r="C1230" s="8" t="s">
        <v>706</v>
      </c>
      <c r="D1230" s="9" t="s">
        <v>3025</v>
      </c>
      <c r="E1230" s="10" t="str">
        <f>HYPERLINK("https://twitter.com/bitMomentum/status/1065243935491190785","1065243935491190785")</f>
        <v>1065243935491190785</v>
      </c>
      <c r="F1230" s="12"/>
      <c r="G1230" s="12"/>
      <c r="H1230" s="12"/>
      <c r="I1230" s="13">
        <v>0</v>
      </c>
      <c r="J1230" s="13">
        <v>0</v>
      </c>
      <c r="K1230" s="14" t="str">
        <f>HYPERLINK("http://www.bitmomentum.com","bitMomentum Bot")</f>
        <v>bitMomentum Bot</v>
      </c>
      <c r="L1230" s="13">
        <v>10132</v>
      </c>
      <c r="M1230" s="13">
        <v>1060</v>
      </c>
      <c r="N1230" s="13">
        <v>262</v>
      </c>
      <c r="O1230" s="15"/>
      <c r="P1230" s="6">
        <v>41608.667511574073</v>
      </c>
      <c r="Q1230" s="12"/>
      <c r="R1230" s="17" t="s">
        <v>708</v>
      </c>
      <c r="S1230" s="11" t="s">
        <v>709</v>
      </c>
      <c r="T1230" s="12"/>
      <c r="U1230" s="10" t="str">
        <f>HYPERLINK("https://pbs.twimg.com/profile_images/378800000862185241/20ij2H3u.png","View")</f>
        <v>View</v>
      </c>
    </row>
    <row r="1231" spans="1:21" ht="61.2">
      <c r="A1231" s="6">
        <v>43425.626168981486</v>
      </c>
      <c r="B1231" s="7" t="str">
        <f>HYPERLINK("https://twitter.com/Laskotillean","@Laskotillean")</f>
        <v>@Laskotillean</v>
      </c>
      <c r="C1231" s="8" t="s">
        <v>3026</v>
      </c>
      <c r="D1231" s="9" t="s">
        <v>3027</v>
      </c>
      <c r="E1231" s="10" t="str">
        <f>HYPERLINK("https://twitter.com/Laskotillean/status/1065243856395018240","1065243856395018240")</f>
        <v>1065243856395018240</v>
      </c>
      <c r="F1231" s="16" t="s">
        <v>3029</v>
      </c>
      <c r="G1231" s="12"/>
      <c r="H1231" s="12"/>
      <c r="I1231" s="13">
        <v>2</v>
      </c>
      <c r="J1231" s="13">
        <v>1</v>
      </c>
      <c r="K1231" s="14" t="str">
        <f>HYPERLINK("http://twitter.com","Twitter Web Client")</f>
        <v>Twitter Web Client</v>
      </c>
      <c r="L1231" s="13">
        <v>688</v>
      </c>
      <c r="M1231" s="13">
        <v>607</v>
      </c>
      <c r="N1231" s="13">
        <v>17</v>
      </c>
      <c r="O1231" s="15"/>
      <c r="P1231" s="6">
        <v>40048.985196759255</v>
      </c>
      <c r="Q1231" s="16" t="s">
        <v>217</v>
      </c>
      <c r="R1231" s="17" t="s">
        <v>3030</v>
      </c>
      <c r="S1231" s="12"/>
      <c r="T1231" s="12"/>
      <c r="U1231" s="10" t="str">
        <f>HYPERLINK("https://pbs.twimg.com/profile_images/848205896043900928/jrq7drTu.jpg","View")</f>
        <v>View</v>
      </c>
    </row>
    <row r="1232" spans="1:21" ht="40.799999999999997">
      <c r="A1232" s="6">
        <v>43425.625694444447</v>
      </c>
      <c r="B1232" s="7" t="str">
        <f>HYPERLINK("https://twitter.com/bitMomentum","@bitMomentum")</f>
        <v>@bitMomentum</v>
      </c>
      <c r="C1232" s="8" t="s">
        <v>706</v>
      </c>
      <c r="D1232" s="9" t="s">
        <v>3031</v>
      </c>
      <c r="E1232" s="10" t="str">
        <f>HYPERLINK("https://twitter.com/bitMomentum/status/1065243683749076992","1065243683749076992")</f>
        <v>1065243683749076992</v>
      </c>
      <c r="F1232" s="12"/>
      <c r="G1232" s="12"/>
      <c r="H1232" s="12"/>
      <c r="I1232" s="13">
        <v>0</v>
      </c>
      <c r="J1232" s="13">
        <v>0</v>
      </c>
      <c r="K1232" s="14" t="str">
        <f>HYPERLINK("http://www.bitmomentum.com","bitMomentum Bot")</f>
        <v>bitMomentum Bot</v>
      </c>
      <c r="L1232" s="13">
        <v>10132</v>
      </c>
      <c r="M1232" s="13">
        <v>1060</v>
      </c>
      <c r="N1232" s="13">
        <v>262</v>
      </c>
      <c r="O1232" s="15"/>
      <c r="P1232" s="6">
        <v>41608.667511574073</v>
      </c>
      <c r="Q1232" s="12"/>
      <c r="R1232" s="17" t="s">
        <v>708</v>
      </c>
      <c r="S1232" s="11" t="s">
        <v>709</v>
      </c>
      <c r="T1232" s="12"/>
      <c r="U1232" s="10" t="str">
        <f>HYPERLINK("https://pbs.twimg.com/profile_images/378800000862185241/20ij2H3u.png","View")</f>
        <v>View</v>
      </c>
    </row>
    <row r="1233" spans="1:21" ht="40.799999999999997">
      <c r="A1233" s="6">
        <v>43425.6253125</v>
      </c>
      <c r="B1233" s="7" t="str">
        <f>HYPERLINK("https://twitter.com/elpais_espana","@elpais_espana")</f>
        <v>@elpais_espana</v>
      </c>
      <c r="C1233" s="8" t="s">
        <v>3938</v>
      </c>
      <c r="D1233" s="9" t="s">
        <v>6180</v>
      </c>
      <c r="E1233" s="10" t="str">
        <f>HYPERLINK("https://twitter.com/elpais_espana/status/1065243547845230593","1065243547845230593")</f>
        <v>1065243547845230593</v>
      </c>
      <c r="F1233" s="11" t="s">
        <v>6181</v>
      </c>
      <c r="G1233" s="12"/>
      <c r="H1233" s="12"/>
      <c r="I1233" s="13">
        <v>17</v>
      </c>
      <c r="J1233" s="13">
        <v>14</v>
      </c>
      <c r="K1233" s="14" t="str">
        <f>HYPERLINK("https://www.hootsuite.com","Hootsuite Inc.")</f>
        <v>Hootsuite Inc.</v>
      </c>
      <c r="L1233" s="13">
        <v>402654</v>
      </c>
      <c r="M1233" s="13">
        <v>799</v>
      </c>
      <c r="N1233" s="13">
        <v>6324</v>
      </c>
      <c r="O1233" s="18" t="s">
        <v>36</v>
      </c>
      <c r="P1233" s="6">
        <v>40245.788946759261</v>
      </c>
      <c r="Q1233" s="16" t="s">
        <v>496</v>
      </c>
      <c r="R1233" s="17" t="s">
        <v>3944</v>
      </c>
      <c r="S1233" s="11" t="s">
        <v>3945</v>
      </c>
      <c r="T1233" s="12"/>
      <c r="U1233" s="10" t="str">
        <f>HYPERLINK("https://pbs.twimg.com/profile_images/917337394914955264/aoU6Bl-8.jpg","View")</f>
        <v>View</v>
      </c>
    </row>
    <row r="1234" spans="1:21" ht="20.399999999999999">
      <c r="A1234" s="6">
        <v>43425.623402777783</v>
      </c>
      <c r="B1234" s="7" t="str">
        <f>HYPERLINK("https://twitter.com/Queechanhoy","@Queechanhoy")</f>
        <v>@Queechanhoy</v>
      </c>
      <c r="C1234" s="8" t="s">
        <v>6182</v>
      </c>
      <c r="D1234" s="9" t="s">
        <v>6183</v>
      </c>
      <c r="E1234" s="10" t="str">
        <f>HYPERLINK("https://twitter.com/Queechanhoy/status/1065242856707760129","1065242856707760129")</f>
        <v>1065242856707760129</v>
      </c>
      <c r="F1234" s="12"/>
      <c r="G1234" s="12"/>
      <c r="H1234" s="12"/>
      <c r="I1234" s="13">
        <v>0</v>
      </c>
      <c r="J1234" s="13">
        <v>0</v>
      </c>
      <c r="K1234" s="14" t="str">
        <f>HYPERLINK("https://ifttt.com","IFTTT")</f>
        <v>IFTTT</v>
      </c>
      <c r="L1234" s="13">
        <v>25</v>
      </c>
      <c r="M1234" s="13">
        <v>39</v>
      </c>
      <c r="N1234" s="13">
        <v>2</v>
      </c>
      <c r="O1234" s="15"/>
      <c r="P1234" s="6">
        <v>42111.672430555554</v>
      </c>
      <c r="Q1234" s="12"/>
      <c r="R1234" s="19"/>
      <c r="S1234" s="12"/>
      <c r="T1234" s="12"/>
      <c r="U1234" s="10" t="str">
        <f>HYPERLINK("https://pbs.twimg.com/profile_images/591565189721563136/SbTHzBPT.jpg","View")</f>
        <v>View</v>
      </c>
    </row>
    <row r="1235" spans="1:21" ht="40.799999999999997">
      <c r="A1235" s="6">
        <v>43425.623229166667</v>
      </c>
      <c r="B1235" s="7" t="str">
        <f>HYPERLINK("https://twitter.com/Alex_Noye","@Alex_Noye")</f>
        <v>@Alex_Noye</v>
      </c>
      <c r="C1235" s="8" t="s">
        <v>3032</v>
      </c>
      <c r="D1235" s="9" t="s">
        <v>3033</v>
      </c>
      <c r="E1235" s="10" t="str">
        <f>HYPERLINK("https://twitter.com/Alex_Noye/status/1065242791234670592","1065242791234670592")</f>
        <v>1065242791234670592</v>
      </c>
      <c r="F1235" s="16" t="s">
        <v>2995</v>
      </c>
      <c r="G1235" s="12"/>
      <c r="H1235" s="12"/>
      <c r="I1235" s="13">
        <v>0</v>
      </c>
      <c r="J1235" s="13">
        <v>0</v>
      </c>
      <c r="K1235" s="14" t="str">
        <f t="shared" ref="K1235:K1238" si="257">HYPERLINK("http://twitter.com/download/android","Twitter for Android")</f>
        <v>Twitter for Android</v>
      </c>
      <c r="L1235" s="13">
        <v>1118</v>
      </c>
      <c r="M1235" s="13">
        <v>312</v>
      </c>
      <c r="N1235" s="13">
        <v>18</v>
      </c>
      <c r="O1235" s="15"/>
      <c r="P1235" s="6">
        <v>41665.555868055555</v>
      </c>
      <c r="Q1235" s="16" t="s">
        <v>3034</v>
      </c>
      <c r="R1235" s="17" t="s">
        <v>3035</v>
      </c>
      <c r="S1235" s="11" t="s">
        <v>3036</v>
      </c>
      <c r="T1235" s="12"/>
      <c r="U1235" s="10" t="str">
        <f>HYPERLINK("https://pbs.twimg.com/profile_images/1060120919895609344/1qce-_Rd.jpg","View")</f>
        <v>View</v>
      </c>
    </row>
    <row r="1236" spans="1:21" ht="51">
      <c r="A1236" s="6">
        <v>43425.623020833329</v>
      </c>
      <c r="B1236" s="7" t="str">
        <f>HYPERLINK("https://twitter.com/Alejandra851976","@Alejandra851976")</f>
        <v>@Alejandra851976</v>
      </c>
      <c r="C1236" s="8" t="s">
        <v>6184</v>
      </c>
      <c r="D1236" s="9" t="s">
        <v>6185</v>
      </c>
      <c r="E1236" s="10" t="str">
        <f>HYPERLINK("https://twitter.com/Alejandra851976/status/1065242718312587264","1065242718312587264")</f>
        <v>1065242718312587264</v>
      </c>
      <c r="F1236" s="12"/>
      <c r="G1236" s="12"/>
      <c r="H1236" s="12"/>
      <c r="I1236" s="13">
        <v>0</v>
      </c>
      <c r="J1236" s="13">
        <v>0</v>
      </c>
      <c r="K1236" s="14" t="str">
        <f t="shared" si="257"/>
        <v>Twitter for Android</v>
      </c>
      <c r="L1236" s="13">
        <v>1778</v>
      </c>
      <c r="M1236" s="13">
        <v>2773</v>
      </c>
      <c r="N1236" s="13">
        <v>8</v>
      </c>
      <c r="O1236" s="15"/>
      <c r="P1236" s="6">
        <v>40969.918622685189</v>
      </c>
      <c r="Q1236" s="16" t="s">
        <v>6186</v>
      </c>
      <c r="R1236" s="17" t="s">
        <v>6187</v>
      </c>
      <c r="S1236" s="12"/>
      <c r="T1236" s="12"/>
      <c r="U1236" s="10" t="str">
        <f>HYPERLINK("https://pbs.twimg.com/profile_images/955521151308058624/HDqad16a.jpg","View")</f>
        <v>View</v>
      </c>
    </row>
    <row r="1237" spans="1:21" ht="40.799999999999997">
      <c r="A1237" s="6">
        <v>43425.621157407411</v>
      </c>
      <c r="B1237" s="7" t="str">
        <f>HYPERLINK("https://twitter.com/sardinapicante","@sardinapicante")</f>
        <v>@sardinapicante</v>
      </c>
      <c r="C1237" s="8" t="s">
        <v>6188</v>
      </c>
      <c r="D1237" s="9" t="s">
        <v>6189</v>
      </c>
      <c r="E1237" s="10" t="str">
        <f>HYPERLINK("https://twitter.com/sardinapicante/status/1065242042262085632","1065242042262085632")</f>
        <v>1065242042262085632</v>
      </c>
      <c r="F1237" s="16" t="s">
        <v>6190</v>
      </c>
      <c r="G1237" s="12"/>
      <c r="H1237" s="12"/>
      <c r="I1237" s="13">
        <v>1</v>
      </c>
      <c r="J1237" s="13">
        <v>10</v>
      </c>
      <c r="K1237" s="14" t="str">
        <f t="shared" si="257"/>
        <v>Twitter for Android</v>
      </c>
      <c r="L1237" s="13">
        <v>1326</v>
      </c>
      <c r="M1237" s="13">
        <v>811</v>
      </c>
      <c r="N1237" s="13">
        <v>14</v>
      </c>
      <c r="O1237" s="15"/>
      <c r="P1237" s="6">
        <v>41732.019872685181</v>
      </c>
      <c r="Q1237" s="16" t="s">
        <v>5988</v>
      </c>
      <c r="R1237" s="17" t="s">
        <v>6191</v>
      </c>
      <c r="S1237" s="11" t="s">
        <v>6192</v>
      </c>
      <c r="T1237" s="12"/>
      <c r="U1237" s="10" t="str">
        <f>HYPERLINK("https://pbs.twimg.com/profile_images/451487144477863936/fSu6-U8O.jpeg","View")</f>
        <v>View</v>
      </c>
    </row>
    <row r="1238" spans="1:21" ht="51">
      <c r="A1238" s="6">
        <v>43425.620949074073</v>
      </c>
      <c r="B1238" s="7" t="str">
        <f>HYPERLINK("https://twitter.com/psoefondon","@psoefondon")</f>
        <v>@psoefondon</v>
      </c>
      <c r="C1238" s="8" t="s">
        <v>6095</v>
      </c>
      <c r="D1238" s="9" t="s">
        <v>6193</v>
      </c>
      <c r="E1238" s="10" t="str">
        <f>HYPERLINK("https://twitter.com/psoefondon/status/1065241966663925760","1065241966663925760")</f>
        <v>1065241966663925760</v>
      </c>
      <c r="F1238" s="12"/>
      <c r="G1238" s="11" t="s">
        <v>6194</v>
      </c>
      <c r="H1238" s="12"/>
      <c r="I1238" s="13">
        <v>0</v>
      </c>
      <c r="J1238" s="13">
        <v>0</v>
      </c>
      <c r="K1238" s="14" t="str">
        <f t="shared" si="257"/>
        <v>Twitter for Android</v>
      </c>
      <c r="L1238" s="13">
        <v>184</v>
      </c>
      <c r="M1238" s="13">
        <v>229</v>
      </c>
      <c r="N1238" s="13">
        <v>1</v>
      </c>
      <c r="O1238" s="15"/>
      <c r="P1238" s="6">
        <v>41014.53770833333</v>
      </c>
      <c r="Q1238" s="16" t="s">
        <v>6098</v>
      </c>
      <c r="R1238" s="17" t="s">
        <v>6099</v>
      </c>
      <c r="S1238" s="11" t="s">
        <v>6100</v>
      </c>
      <c r="T1238" s="12"/>
      <c r="U1238" s="10" t="str">
        <f>HYPERLINK("https://pbs.twimg.com/profile_images/1063771654877261824/IyQrANUw.jpg","View")</f>
        <v>View</v>
      </c>
    </row>
    <row r="1239" spans="1:21" ht="30.6">
      <c r="A1239" s="6">
        <v>43425.619259259256</v>
      </c>
      <c r="B1239" s="7" t="str">
        <f>HYPERLINK("https://twitter.com/marianofake","@marianofake")</f>
        <v>@marianofake</v>
      </c>
      <c r="C1239" s="8" t="s">
        <v>6195</v>
      </c>
      <c r="D1239" s="9" t="s">
        <v>6196</v>
      </c>
      <c r="E1239" s="10" t="str">
        <f>HYPERLINK("https://twitter.com/marianofake/status/1065241354597474305","1065241354597474305")</f>
        <v>1065241354597474305</v>
      </c>
      <c r="F1239" s="12"/>
      <c r="G1239" s="12"/>
      <c r="H1239" s="12"/>
      <c r="I1239" s="13">
        <v>13</v>
      </c>
      <c r="J1239" s="13">
        <v>15</v>
      </c>
      <c r="K1239" s="14" t="str">
        <f>HYPERLINK("http://twitter.com","Twitter Web Client")</f>
        <v>Twitter Web Client</v>
      </c>
      <c r="L1239" s="13">
        <v>6041</v>
      </c>
      <c r="M1239" s="13">
        <v>3163</v>
      </c>
      <c r="N1239" s="13">
        <v>19</v>
      </c>
      <c r="O1239" s="15"/>
      <c r="P1239" s="6">
        <v>42101.675752314812</v>
      </c>
      <c r="Q1239" s="12"/>
      <c r="R1239" s="17" t="s">
        <v>6197</v>
      </c>
      <c r="S1239" s="12"/>
      <c r="T1239" s="12"/>
      <c r="U1239" s="10" t="str">
        <f>HYPERLINK("https://pbs.twimg.com/profile_images/865123852795367424/p4pK2M21.jpg","View")</f>
        <v>View</v>
      </c>
    </row>
    <row r="1240" spans="1:21" ht="81.599999999999994">
      <c r="A1240" s="6">
        <v>43425.618530092594</v>
      </c>
      <c r="B1240" s="7" t="str">
        <f>HYPERLINK("https://twitter.com/RomanSergio94","@RomanSergio94")</f>
        <v>@RomanSergio94</v>
      </c>
      <c r="C1240" s="8" t="s">
        <v>6198</v>
      </c>
      <c r="D1240" s="9" t="s">
        <v>6199</v>
      </c>
      <c r="E1240" s="10" t="str">
        <f>HYPERLINK("https://twitter.com/RomanSergio94/status/1065241087168692224","1065241087168692224")</f>
        <v>1065241087168692224</v>
      </c>
      <c r="F1240" s="16" t="s">
        <v>2623</v>
      </c>
      <c r="G1240" s="11" t="s">
        <v>65</v>
      </c>
      <c r="H1240" s="12"/>
      <c r="I1240" s="13">
        <v>1</v>
      </c>
      <c r="J1240" s="13">
        <v>4</v>
      </c>
      <c r="K1240" s="14" t="str">
        <f t="shared" ref="K1240:K1244" si="258">HYPERLINK("http://twitter.com/download/android","Twitter for Android")</f>
        <v>Twitter for Android</v>
      </c>
      <c r="L1240" s="13">
        <v>925</v>
      </c>
      <c r="M1240" s="13">
        <v>2308</v>
      </c>
      <c r="N1240" s="13">
        <v>6</v>
      </c>
      <c r="O1240" s="15"/>
      <c r="P1240" s="6">
        <v>41535.711284722223</v>
      </c>
      <c r="Q1240" s="16" t="s">
        <v>6200</v>
      </c>
      <c r="R1240" s="27" t="s">
        <v>6201</v>
      </c>
      <c r="S1240" s="11" t="s">
        <v>6202</v>
      </c>
      <c r="T1240" s="12"/>
      <c r="U1240" s="10" t="str">
        <f>HYPERLINK("https://pbs.twimg.com/profile_images/1024724107072552962/JDvoKXKe.jpg","View")</f>
        <v>View</v>
      </c>
    </row>
    <row r="1241" spans="1:21" ht="61.2">
      <c r="A1241" s="6">
        <v>43425.617986111116</v>
      </c>
      <c r="B1241" s="7" t="str">
        <f>HYPERLINK("https://twitter.com/hiroshi_power","@hiroshi_power")</f>
        <v>@hiroshi_power</v>
      </c>
      <c r="C1241" s="8" t="s">
        <v>3037</v>
      </c>
      <c r="D1241" s="9" t="s">
        <v>3038</v>
      </c>
      <c r="E1241" s="10" t="str">
        <f>HYPERLINK("https://twitter.com/hiroshi_power/status/1065240891986710528","1065240891986710528")</f>
        <v>1065240891986710528</v>
      </c>
      <c r="F1241" s="16" t="s">
        <v>594</v>
      </c>
      <c r="G1241" s="12"/>
      <c r="H1241" s="12"/>
      <c r="I1241" s="13">
        <v>0</v>
      </c>
      <c r="J1241" s="13">
        <v>0</v>
      </c>
      <c r="K1241" s="14" t="str">
        <f t="shared" si="258"/>
        <v>Twitter for Android</v>
      </c>
      <c r="L1241" s="13">
        <v>222</v>
      </c>
      <c r="M1241" s="13">
        <v>485</v>
      </c>
      <c r="N1241" s="13">
        <v>6</v>
      </c>
      <c r="O1241" s="15"/>
      <c r="P1241" s="6">
        <v>40679.803854166668</v>
      </c>
      <c r="Q1241" s="12"/>
      <c r="R1241" s="17" t="s">
        <v>3040</v>
      </c>
      <c r="S1241" s="12"/>
      <c r="T1241" s="12"/>
      <c r="U1241" s="10" t="str">
        <f>HYPERLINK("https://pbs.twimg.com/profile_images/934450147630682112/9y8x3DY_.jpg","View")</f>
        <v>View</v>
      </c>
    </row>
    <row r="1242" spans="1:21" ht="91.8">
      <c r="A1242" s="6">
        <v>43425.617407407408</v>
      </c>
      <c r="B1242" s="7" t="str">
        <f>HYPERLINK("https://twitter.com/delegatgirona","@delegatgirona")</f>
        <v>@delegatgirona</v>
      </c>
      <c r="C1242" s="8" t="s">
        <v>3041</v>
      </c>
      <c r="D1242" s="9" t="s">
        <v>3042</v>
      </c>
      <c r="E1242" s="10" t="str">
        <f>HYPERLINK("https://twitter.com/delegatgirona/status/1065240680556044290","1065240680556044290")</f>
        <v>1065240680556044290</v>
      </c>
      <c r="F1242" s="11" t="s">
        <v>3043</v>
      </c>
      <c r="G1242" s="11" t="s">
        <v>3044</v>
      </c>
      <c r="H1242" s="12"/>
      <c r="I1242" s="13">
        <v>0</v>
      </c>
      <c r="J1242" s="13">
        <v>0</v>
      </c>
      <c r="K1242" s="14" t="str">
        <f t="shared" si="258"/>
        <v>Twitter for Android</v>
      </c>
      <c r="L1242" s="13">
        <v>187</v>
      </c>
      <c r="M1242" s="13">
        <v>205</v>
      </c>
      <c r="N1242" s="13">
        <v>2</v>
      </c>
      <c r="O1242" s="15"/>
      <c r="P1242" s="6">
        <v>41416.370775462965</v>
      </c>
      <c r="Q1242" s="12"/>
      <c r="R1242" s="17" t="s">
        <v>3046</v>
      </c>
      <c r="S1242" s="12"/>
      <c r="T1242" s="12"/>
      <c r="U1242" s="10" t="str">
        <f>HYPERLINK("https://pbs.twimg.com/profile_images/1009767629324734464/k1TfSLmp.jpg","View")</f>
        <v>View</v>
      </c>
    </row>
    <row r="1243" spans="1:21" ht="51">
      <c r="A1243" s="6">
        <v>43425.616967592592</v>
      </c>
      <c r="B1243" s="7" t="str">
        <f>HYPERLINK("https://twitter.com/antigilis","@antigilis")</f>
        <v>@antigilis</v>
      </c>
      <c r="C1243" s="8" t="s">
        <v>301</v>
      </c>
      <c r="D1243" s="9" t="s">
        <v>3048</v>
      </c>
      <c r="E1243" s="10" t="str">
        <f>HYPERLINK("https://twitter.com/antigilis/status/1065240523043217408","1065240523043217408")</f>
        <v>1065240523043217408</v>
      </c>
      <c r="F1243" s="12"/>
      <c r="G1243" s="11" t="s">
        <v>3049</v>
      </c>
      <c r="H1243" s="12"/>
      <c r="I1243" s="13">
        <v>12</v>
      </c>
      <c r="J1243" s="13">
        <v>13</v>
      </c>
      <c r="K1243" s="14" t="str">
        <f t="shared" si="258"/>
        <v>Twitter for Android</v>
      </c>
      <c r="L1243" s="13">
        <v>2162</v>
      </c>
      <c r="M1243" s="13">
        <v>3255</v>
      </c>
      <c r="N1243" s="13">
        <v>7</v>
      </c>
      <c r="O1243" s="15"/>
      <c r="P1243" s="6">
        <v>42785.648877314816</v>
      </c>
      <c r="Q1243" s="16" t="s">
        <v>304</v>
      </c>
      <c r="R1243" s="17" t="s">
        <v>305</v>
      </c>
      <c r="S1243" s="12"/>
      <c r="T1243" s="12"/>
      <c r="U1243" s="10" t="str">
        <f>HYPERLINK("https://pbs.twimg.com/profile_images/1064154576352350209/oVr7S2uX.jpg","View")</f>
        <v>View</v>
      </c>
    </row>
    <row r="1244" spans="1:21" ht="30.6">
      <c r="A1244" s="6">
        <v>43425.616712962961</v>
      </c>
      <c r="B1244" s="7" t="str">
        <f>HYPERLINK("https://twitter.com/David_Borrell","@David_Borrell")</f>
        <v>@David_Borrell</v>
      </c>
      <c r="C1244" s="8" t="s">
        <v>3051</v>
      </c>
      <c r="D1244" s="9" t="s">
        <v>3052</v>
      </c>
      <c r="E1244" s="10" t="str">
        <f>HYPERLINK("https://twitter.com/David_Borrell/status/1065240432005865472","1065240432005865472")</f>
        <v>1065240432005865472</v>
      </c>
      <c r="F1244" s="16" t="s">
        <v>2486</v>
      </c>
      <c r="G1244" s="11" t="s">
        <v>2487</v>
      </c>
      <c r="H1244" s="12"/>
      <c r="I1244" s="13">
        <v>1</v>
      </c>
      <c r="J1244" s="13">
        <v>3</v>
      </c>
      <c r="K1244" s="14" t="str">
        <f t="shared" si="258"/>
        <v>Twitter for Android</v>
      </c>
      <c r="L1244" s="13">
        <v>227</v>
      </c>
      <c r="M1244" s="13">
        <v>852</v>
      </c>
      <c r="N1244" s="13">
        <v>3</v>
      </c>
      <c r="O1244" s="15"/>
      <c r="P1244" s="6">
        <v>40274.967013888891</v>
      </c>
      <c r="Q1244" s="16" t="s">
        <v>3055</v>
      </c>
      <c r="R1244" s="17" t="s">
        <v>3056</v>
      </c>
      <c r="S1244" s="11" t="s">
        <v>3057</v>
      </c>
      <c r="T1244" s="12"/>
      <c r="U1244" s="10" t="str">
        <f>HYPERLINK("https://pbs.twimg.com/profile_images/988558182548205568/mAVnwOHP.jpg","View")</f>
        <v>View</v>
      </c>
    </row>
    <row r="1245" spans="1:21" ht="30.6">
      <c r="A1245" s="6">
        <v>43425.616296296299</v>
      </c>
      <c r="B1245" s="7" t="str">
        <f>HYPERLINK("https://twitter.com/arena69840030","@arena69840030")</f>
        <v>@arena69840030</v>
      </c>
      <c r="C1245" s="8" t="s">
        <v>3065</v>
      </c>
      <c r="D1245" s="9" t="s">
        <v>3066</v>
      </c>
      <c r="E1245" s="10" t="str">
        <f>HYPERLINK("https://twitter.com/arena69840030/status/1065240278611705856","1065240278611705856")</f>
        <v>1065240278611705856</v>
      </c>
      <c r="F1245" s="12"/>
      <c r="G1245" s="12"/>
      <c r="H1245" s="12"/>
      <c r="I1245" s="13">
        <v>0</v>
      </c>
      <c r="J1245" s="13">
        <v>1</v>
      </c>
      <c r="K1245" s="14" t="str">
        <f>HYPERLINK("http://twitter.com/download/iphone","Twitter for iPhone")</f>
        <v>Twitter for iPhone</v>
      </c>
      <c r="L1245" s="13">
        <v>141</v>
      </c>
      <c r="M1245" s="13">
        <v>153</v>
      </c>
      <c r="N1245" s="13">
        <v>0</v>
      </c>
      <c r="O1245" s="15"/>
      <c r="P1245" s="6">
        <v>42415.836099537039</v>
      </c>
      <c r="Q1245" s="12"/>
      <c r="R1245" s="17" t="s">
        <v>3067</v>
      </c>
      <c r="S1245" s="12"/>
      <c r="T1245" s="12"/>
      <c r="U1245" s="10" t="str">
        <f>HYPERLINK("https://pbs.twimg.com/profile_images/798971170502672391/SXe7TtYz.jpg","View")</f>
        <v>View</v>
      </c>
    </row>
    <row r="1246" spans="1:21" ht="40.799999999999997">
      <c r="A1246" s="6">
        <v>43425.614583333328</v>
      </c>
      <c r="B1246" s="7" t="str">
        <f>HYPERLINK("https://twitter.com/120minutosTM","@120minutosTM")</f>
        <v>@120minutosTM</v>
      </c>
      <c r="C1246" s="8" t="s">
        <v>3069</v>
      </c>
      <c r="D1246" s="9" t="s">
        <v>3070</v>
      </c>
      <c r="E1246" s="10" t="str">
        <f>HYPERLINK("https://twitter.com/120minutosTM/status/1065239659217858560","1065239659217858560")</f>
        <v>1065239659217858560</v>
      </c>
      <c r="F1246" s="11" t="s">
        <v>3071</v>
      </c>
      <c r="G1246" s="12"/>
      <c r="H1246" s="12"/>
      <c r="I1246" s="13">
        <v>1</v>
      </c>
      <c r="J1246" s="13">
        <v>1</v>
      </c>
      <c r="K1246" s="14" t="str">
        <f>HYPERLINK("http://dogtrack.es","DogTrack_Oficial")</f>
        <v>DogTrack_Oficial</v>
      </c>
      <c r="L1246" s="13">
        <v>1665</v>
      </c>
      <c r="M1246" s="13">
        <v>205</v>
      </c>
      <c r="N1246" s="13">
        <v>18</v>
      </c>
      <c r="O1246" s="15"/>
      <c r="P1246" s="6">
        <v>43129.453402777777</v>
      </c>
      <c r="Q1246" s="16" t="s">
        <v>118</v>
      </c>
      <c r="R1246" s="17" t="s">
        <v>3073</v>
      </c>
      <c r="S1246" s="11" t="s">
        <v>3074</v>
      </c>
      <c r="T1246" s="12"/>
      <c r="U1246" s="10" t="str">
        <f>HYPERLINK("https://pbs.twimg.com/profile_images/1008997691165200384/SMjhDWGJ.jpg","View")</f>
        <v>View</v>
      </c>
    </row>
    <row r="1247" spans="1:21" ht="30.6">
      <c r="A1247" s="6">
        <v>43425.614583333328</v>
      </c>
      <c r="B1247" s="7" t="str">
        <f>HYPERLINK("https://twitter.com/ElHuffPost","@ElHuffPost")</f>
        <v>@ElHuffPost</v>
      </c>
      <c r="C1247" s="8" t="s">
        <v>6203</v>
      </c>
      <c r="D1247" s="9" t="s">
        <v>6204</v>
      </c>
      <c r="E1247" s="10" t="str">
        <f>HYPERLINK("https://twitter.com/ElHuffPost/status/1065239658374864897","1065239658374864897")</f>
        <v>1065239658374864897</v>
      </c>
      <c r="F1247" s="11" t="s">
        <v>1709</v>
      </c>
      <c r="G1247" s="12"/>
      <c r="H1247" s="12"/>
      <c r="I1247" s="13">
        <v>0</v>
      </c>
      <c r="J1247" s="13">
        <v>0</v>
      </c>
      <c r="K1247" s="14" t="str">
        <f>HYPERLINK("https://about.twitter.com/products/tweetdeck","TweetDeck")</f>
        <v>TweetDeck</v>
      </c>
      <c r="L1247" s="13">
        <v>430324</v>
      </c>
      <c r="M1247" s="13">
        <v>1532</v>
      </c>
      <c r="N1247" s="13">
        <v>8188</v>
      </c>
      <c r="O1247" s="18" t="s">
        <v>36</v>
      </c>
      <c r="P1247" s="6">
        <v>40785.027118055557</v>
      </c>
      <c r="Q1247" s="16" t="s">
        <v>440</v>
      </c>
      <c r="R1247" s="17" t="s">
        <v>6205</v>
      </c>
      <c r="S1247" s="11" t="s">
        <v>6206</v>
      </c>
      <c r="T1247" s="12"/>
      <c r="U1247" s="10" t="str">
        <f>HYPERLINK("https://pbs.twimg.com/profile_images/921140803422089217/ETOEUOAx.jpg","View")</f>
        <v>View</v>
      </c>
    </row>
    <row r="1248" spans="1:21" ht="51">
      <c r="A1248" s="6">
        <v>43425.61418981482</v>
      </c>
      <c r="B1248" s="7" t="str">
        <f>HYPERLINK("https://twitter.com/MontDeMont","@MontDeMont")</f>
        <v>@MontDeMont</v>
      </c>
      <c r="C1248" s="8" t="s">
        <v>3077</v>
      </c>
      <c r="D1248" s="9" t="s">
        <v>3078</v>
      </c>
      <c r="E1248" s="10" t="str">
        <f>HYPERLINK("https://twitter.com/MontDeMont/status/1065239515734921218","1065239515734921218")</f>
        <v>1065239515734921218</v>
      </c>
      <c r="F1248" s="16" t="s">
        <v>64</v>
      </c>
      <c r="G1248" s="11" t="s">
        <v>65</v>
      </c>
      <c r="H1248" s="12"/>
      <c r="I1248" s="13">
        <v>34</v>
      </c>
      <c r="J1248" s="13">
        <v>48</v>
      </c>
      <c r="K1248" s="14" t="str">
        <f>HYPERLINK("http://twitter.com/download/iphone","Twitter for iPhone")</f>
        <v>Twitter for iPhone</v>
      </c>
      <c r="L1248" s="13">
        <v>95008</v>
      </c>
      <c r="M1248" s="13">
        <v>812</v>
      </c>
      <c r="N1248" s="13">
        <v>1753</v>
      </c>
      <c r="O1248" s="18" t="s">
        <v>36</v>
      </c>
      <c r="P1248" s="6">
        <v>40671.586284722223</v>
      </c>
      <c r="Q1248" s="16" t="s">
        <v>496</v>
      </c>
      <c r="R1248" s="17" t="s">
        <v>3081</v>
      </c>
      <c r="S1248" s="11" t="s">
        <v>3082</v>
      </c>
      <c r="T1248" s="12"/>
      <c r="U1248" s="10" t="str">
        <f>HYPERLINK("https://pbs.twimg.com/profile_images/1007658867738710016/sgPdR-Gw.jpg","View")</f>
        <v>View</v>
      </c>
    </row>
    <row r="1249" spans="1:21" ht="30.6">
      <c r="A1249" s="6">
        <v>43425.613969907412</v>
      </c>
      <c r="B1249" s="7" t="str">
        <f>HYPERLINK("https://twitter.com/CsLangreo","@CsLangreo")</f>
        <v>@CsLangreo</v>
      </c>
      <c r="C1249" s="8" t="s">
        <v>3084</v>
      </c>
      <c r="D1249" s="9" t="s">
        <v>3086</v>
      </c>
      <c r="E1249" s="10" t="str">
        <f>HYPERLINK("https://twitter.com/CsLangreo/status/1065239436626153477","1065239436626153477")</f>
        <v>1065239436626153477</v>
      </c>
      <c r="F1249" s="12"/>
      <c r="G1249" s="11" t="s">
        <v>3087</v>
      </c>
      <c r="H1249" s="12"/>
      <c r="I1249" s="13">
        <v>3</v>
      </c>
      <c r="J1249" s="13">
        <v>5</v>
      </c>
      <c r="K1249" s="14" t="str">
        <f t="shared" ref="K1249:K1250" si="259">HYPERLINK("http://twitter.com","Twitter Web Client")</f>
        <v>Twitter Web Client</v>
      </c>
      <c r="L1249" s="13">
        <v>874</v>
      </c>
      <c r="M1249" s="13">
        <v>843</v>
      </c>
      <c r="N1249" s="13">
        <v>6</v>
      </c>
      <c r="O1249" s="15"/>
      <c r="P1249" s="6">
        <v>42500.509328703702</v>
      </c>
      <c r="Q1249" s="16" t="s">
        <v>3089</v>
      </c>
      <c r="R1249" s="17" t="s">
        <v>3084</v>
      </c>
      <c r="S1249" s="12"/>
      <c r="T1249" s="12"/>
      <c r="U1249" s="10" t="str">
        <f>HYPERLINK("https://pbs.twimg.com/profile_images/899606117789118464/yuaeCI_w.jpg","View")</f>
        <v>View</v>
      </c>
    </row>
    <row r="1250" spans="1:21" ht="30.6">
      <c r="A1250" s="6">
        <v>43425.613819444443</v>
      </c>
      <c r="B1250" s="7" t="str">
        <f>HYPERLINK("https://twitter.com/Rojillo2018","@Rojillo2018")</f>
        <v>@Rojillo2018</v>
      </c>
      <c r="C1250" s="8" t="s">
        <v>3429</v>
      </c>
      <c r="D1250" s="9" t="s">
        <v>6207</v>
      </c>
      <c r="E1250" s="10" t="str">
        <f>HYPERLINK("https://twitter.com/Rojillo2018/status/1065239382695837698","1065239382695837698")</f>
        <v>1065239382695837698</v>
      </c>
      <c r="F1250" s="11" t="s">
        <v>3297</v>
      </c>
      <c r="G1250" s="12"/>
      <c r="H1250" s="12"/>
      <c r="I1250" s="13">
        <v>1</v>
      </c>
      <c r="J1250" s="13">
        <v>3</v>
      </c>
      <c r="K1250" s="14" t="str">
        <f t="shared" si="259"/>
        <v>Twitter Web Client</v>
      </c>
      <c r="L1250" s="13">
        <v>449</v>
      </c>
      <c r="M1250" s="13">
        <v>1034</v>
      </c>
      <c r="N1250" s="13">
        <v>1</v>
      </c>
      <c r="O1250" s="15"/>
      <c r="P1250" s="6">
        <v>43416.63175925926</v>
      </c>
      <c r="Q1250" s="16" t="s">
        <v>3433</v>
      </c>
      <c r="R1250" s="17" t="s">
        <v>3434</v>
      </c>
      <c r="S1250" s="12"/>
      <c r="T1250" s="12"/>
      <c r="U1250" s="10" t="str">
        <f>HYPERLINK("https://pbs.twimg.com/profile_images/1063905639091642369/tNutwQbh.jpg","View")</f>
        <v>View</v>
      </c>
    </row>
    <row r="1251" spans="1:21" ht="40.799999999999997">
      <c r="A1251" s="6">
        <v>43425.613726851851</v>
      </c>
      <c r="B1251" s="7" t="str">
        <f>HYPERLINK("https://twitter.com/SergiogmSergio","@SergiogmSergio")</f>
        <v>@SergiogmSergio</v>
      </c>
      <c r="C1251" s="8" t="s">
        <v>2894</v>
      </c>
      <c r="D1251" s="9" t="s">
        <v>3092</v>
      </c>
      <c r="E1251" s="10" t="str">
        <f>HYPERLINK("https://twitter.com/SergiogmSergio/status/1065239348168335360","1065239348168335360")</f>
        <v>1065239348168335360</v>
      </c>
      <c r="F1251" s="11" t="s">
        <v>3093</v>
      </c>
      <c r="G1251" s="11" t="s">
        <v>3094</v>
      </c>
      <c r="H1251" s="12"/>
      <c r="I1251" s="13">
        <v>5</v>
      </c>
      <c r="J1251" s="13">
        <v>11</v>
      </c>
      <c r="K1251" s="14" t="str">
        <f>HYPERLINK("http://twitter.com/download/iphone","Twitter for iPhone")</f>
        <v>Twitter for iPhone</v>
      </c>
      <c r="L1251" s="13">
        <v>108</v>
      </c>
      <c r="M1251" s="13">
        <v>290</v>
      </c>
      <c r="N1251" s="13">
        <v>0</v>
      </c>
      <c r="O1251" s="15"/>
      <c r="P1251" s="6">
        <v>42071.631851851853</v>
      </c>
      <c r="Q1251" s="12"/>
      <c r="R1251" s="17" t="s">
        <v>2898</v>
      </c>
      <c r="S1251" s="12"/>
      <c r="T1251" s="12"/>
      <c r="U1251" s="10" t="str">
        <f>HYPERLINK("https://pbs.twimg.com/profile_images/759914683843252224/gGYuI175.jpg","View")</f>
        <v>View</v>
      </c>
    </row>
    <row r="1252" spans="1:21" ht="40.799999999999997">
      <c r="A1252" s="6">
        <v>43425.613125000003</v>
      </c>
      <c r="B1252" s="7" t="str">
        <f>HYPERLINK("https://twitter.com/maximors45","@maximors45")</f>
        <v>@maximors45</v>
      </c>
      <c r="C1252" s="8" t="s">
        <v>412</v>
      </c>
      <c r="D1252" s="9" t="s">
        <v>3097</v>
      </c>
      <c r="E1252" s="10" t="str">
        <f>HYPERLINK("https://twitter.com/maximors45/status/1065239128361570306","1065239128361570306")</f>
        <v>1065239128361570306</v>
      </c>
      <c r="F1252" s="11" t="s">
        <v>3099</v>
      </c>
      <c r="G1252" s="11" t="s">
        <v>3100</v>
      </c>
      <c r="H1252" s="12"/>
      <c r="I1252" s="13">
        <v>1</v>
      </c>
      <c r="J1252" s="13">
        <v>0</v>
      </c>
      <c r="K1252" s="14" t="str">
        <f>HYPERLINK("http://twitter.com/download/android","Twitter for Android")</f>
        <v>Twitter for Android</v>
      </c>
      <c r="L1252" s="13">
        <v>7321</v>
      </c>
      <c r="M1252" s="13">
        <v>6287</v>
      </c>
      <c r="N1252" s="13">
        <v>212</v>
      </c>
      <c r="O1252" s="15"/>
      <c r="P1252" s="6">
        <v>41713.777592592596</v>
      </c>
      <c r="Q1252" s="16" t="s">
        <v>416</v>
      </c>
      <c r="R1252" s="17" t="s">
        <v>417</v>
      </c>
      <c r="S1252" s="12"/>
      <c r="T1252" s="12"/>
      <c r="U1252" s="10" t="str">
        <f>HYPERLINK("https://pbs.twimg.com/profile_images/1063386537101012998/36434Wof.jpg","View")</f>
        <v>View</v>
      </c>
    </row>
    <row r="1253" spans="1:21" ht="81.599999999999994">
      <c r="A1253" s="6">
        <v>43425.61209490741</v>
      </c>
      <c r="B1253" s="7" t="str">
        <f>HYPERLINK("https://twitter.com/carlosgrazalema","@carlosgrazalema")</f>
        <v>@carlosgrazalema</v>
      </c>
      <c r="C1253" s="8" t="s">
        <v>3101</v>
      </c>
      <c r="D1253" s="9" t="s">
        <v>3102</v>
      </c>
      <c r="E1253" s="10" t="str">
        <f>HYPERLINK("https://twitter.com/carlosgrazalema/status/1065238756532334592","1065238756532334592")</f>
        <v>1065238756532334592</v>
      </c>
      <c r="F1253" s="11" t="s">
        <v>2066</v>
      </c>
      <c r="G1253" s="11" t="s">
        <v>2067</v>
      </c>
      <c r="H1253" s="12"/>
      <c r="I1253" s="13">
        <v>0</v>
      </c>
      <c r="J1253" s="13">
        <v>0</v>
      </c>
      <c r="K1253" s="14" t="str">
        <f>HYPERLINK("http://twitter.com/download/iphone","Twitter for iPhone")</f>
        <v>Twitter for iPhone</v>
      </c>
      <c r="L1253" s="13">
        <v>499</v>
      </c>
      <c r="M1253" s="13">
        <v>840</v>
      </c>
      <c r="N1253" s="13">
        <v>5</v>
      </c>
      <c r="O1253" s="15"/>
      <c r="P1253" s="6">
        <v>42614.772025462968</v>
      </c>
      <c r="Q1253" s="16" t="s">
        <v>3105</v>
      </c>
      <c r="R1253" s="17" t="s">
        <v>3106</v>
      </c>
      <c r="S1253" s="11" t="s">
        <v>3107</v>
      </c>
      <c r="T1253" s="12"/>
      <c r="U1253" s="10" t="str">
        <f>HYPERLINK("https://pbs.twimg.com/profile_images/923948987580854272/ngbLmoxp.jpg","View")</f>
        <v>View</v>
      </c>
    </row>
    <row r="1254" spans="1:21" ht="30.6">
      <c r="A1254" s="6">
        <v>43425.611319444448</v>
      </c>
      <c r="B1254" s="7" t="str">
        <f>HYPERLINK("https://twitter.com/telemadrid","@telemadrid")</f>
        <v>@telemadrid</v>
      </c>
      <c r="C1254" s="8" t="s">
        <v>3318</v>
      </c>
      <c r="D1254" s="9" t="s">
        <v>6208</v>
      </c>
      <c r="E1254" s="10" t="str">
        <f>HYPERLINK("https://twitter.com/telemadrid/status/1065238477128769538","1065238477128769538")</f>
        <v>1065238477128769538</v>
      </c>
      <c r="F1254" s="11" t="s">
        <v>6209</v>
      </c>
      <c r="G1254" s="12"/>
      <c r="H1254" s="12"/>
      <c r="I1254" s="13">
        <v>0</v>
      </c>
      <c r="J1254" s="13">
        <v>2</v>
      </c>
      <c r="K1254" s="14" t="str">
        <f>HYPERLINK("http://dogtrack.es","DogTrack_Oficial")</f>
        <v>DogTrack_Oficial</v>
      </c>
      <c r="L1254" s="13">
        <v>75413</v>
      </c>
      <c r="M1254" s="13">
        <v>23</v>
      </c>
      <c r="N1254" s="13">
        <v>1297</v>
      </c>
      <c r="O1254" s="18" t="s">
        <v>36</v>
      </c>
      <c r="P1254" s="6">
        <v>39918.718321759261</v>
      </c>
      <c r="Q1254" s="16" t="s">
        <v>3323</v>
      </c>
      <c r="R1254" s="17" t="s">
        <v>3324</v>
      </c>
      <c r="S1254" s="11" t="s">
        <v>3325</v>
      </c>
      <c r="T1254" s="12"/>
      <c r="U1254" s="10" t="str">
        <f>HYPERLINK("https://pbs.twimg.com/profile_images/971892668484734976/7hF5iQca.jpg","View")</f>
        <v>View</v>
      </c>
    </row>
    <row r="1255" spans="1:21" ht="51">
      <c r="A1255" s="6">
        <v>43425.611180555556</v>
      </c>
      <c r="B1255" s="7" t="str">
        <f>HYPERLINK("https://twitter.com/MilaLlambi1","@MilaLlambi1")</f>
        <v>@MilaLlambi1</v>
      </c>
      <c r="C1255" s="8" t="s">
        <v>6210</v>
      </c>
      <c r="D1255" s="9" t="s">
        <v>4473</v>
      </c>
      <c r="E1255" s="10" t="str">
        <f>HYPERLINK("https://twitter.com/MilaLlambi1/status/1065238426834878464","1065238426834878464")</f>
        <v>1065238426834878464</v>
      </c>
      <c r="F1255" s="16" t="s">
        <v>4127</v>
      </c>
      <c r="G1255" s="12"/>
      <c r="H1255" s="12"/>
      <c r="I1255" s="13">
        <v>0</v>
      </c>
      <c r="J1255" s="13">
        <v>0</v>
      </c>
      <c r="K1255" s="14" t="str">
        <f t="shared" ref="K1255:K1256" si="260">HYPERLINK("http://twitter.com/download/android","Twitter for Android")</f>
        <v>Twitter for Android</v>
      </c>
      <c r="L1255" s="13">
        <v>187</v>
      </c>
      <c r="M1255" s="13">
        <v>1023</v>
      </c>
      <c r="N1255" s="13">
        <v>0</v>
      </c>
      <c r="O1255" s="15"/>
      <c r="P1255" s="6">
        <v>43064.896828703699</v>
      </c>
      <c r="Q1255" s="12"/>
      <c r="R1255" s="17" t="s">
        <v>6211</v>
      </c>
      <c r="S1255" s="12"/>
      <c r="T1255" s="12"/>
      <c r="U1255" s="10" t="str">
        <f>HYPERLINK("https://pbs.twimg.com/profile_images/1007509296417050624/5-GExTG6.jpg","View")</f>
        <v>View</v>
      </c>
    </row>
    <row r="1256" spans="1:21" ht="71.400000000000006">
      <c r="A1256" s="6">
        <v>43425.610393518524</v>
      </c>
      <c r="B1256" s="7" t="str">
        <f>HYPERLINK("https://twitter.com/_Gafas_y_reloj_","@_Gafas_y_reloj_")</f>
        <v>@_Gafas_y_reloj_</v>
      </c>
      <c r="C1256" s="8" t="s">
        <v>3111</v>
      </c>
      <c r="D1256" s="9" t="s">
        <v>3112</v>
      </c>
      <c r="E1256" s="10" t="str">
        <f>HYPERLINK("https://twitter.com/_Gafas_y_reloj_/status/1065238139525042176","1065238139525042176")</f>
        <v>1065238139525042176</v>
      </c>
      <c r="F1256" s="16" t="s">
        <v>64</v>
      </c>
      <c r="G1256" s="11" t="s">
        <v>65</v>
      </c>
      <c r="H1256" s="12"/>
      <c r="I1256" s="13">
        <v>5</v>
      </c>
      <c r="J1256" s="13">
        <v>12</v>
      </c>
      <c r="K1256" s="14" t="str">
        <f t="shared" si="260"/>
        <v>Twitter for Android</v>
      </c>
      <c r="L1256" s="13">
        <v>11846</v>
      </c>
      <c r="M1256" s="13">
        <v>712</v>
      </c>
      <c r="N1256" s="13">
        <v>193</v>
      </c>
      <c r="O1256" s="15"/>
      <c r="P1256" s="6">
        <v>40803.430173611108</v>
      </c>
      <c r="Q1256" s="16" t="s">
        <v>3113</v>
      </c>
      <c r="R1256" s="17" t="s">
        <v>3114</v>
      </c>
      <c r="S1256" s="12"/>
      <c r="T1256" s="12"/>
      <c r="U1256" s="10" t="str">
        <f>HYPERLINK("https://pbs.twimg.com/profile_images/923940667965038593/LEd9tLut.jpg","View")</f>
        <v>View</v>
      </c>
    </row>
    <row r="1257" spans="1:21" ht="51">
      <c r="A1257" s="6">
        <v>43425.610324074078</v>
      </c>
      <c r="B1257" s="7" t="str">
        <f>HYPERLINK("https://twitter.com/carlescuevas","@carlescuevas")</f>
        <v>@carlescuevas</v>
      </c>
      <c r="C1257" s="8" t="s">
        <v>6213</v>
      </c>
      <c r="D1257" s="9" t="s">
        <v>6214</v>
      </c>
      <c r="E1257" s="10" t="str">
        <f>HYPERLINK("https://twitter.com/carlescuevas/status/1065238113788792832","1065238113788792832")</f>
        <v>1065238113788792832</v>
      </c>
      <c r="F1257" s="12"/>
      <c r="G1257" s="11" t="s">
        <v>6215</v>
      </c>
      <c r="H1257" s="12"/>
      <c r="I1257" s="13">
        <v>0</v>
      </c>
      <c r="J1257" s="13">
        <v>0</v>
      </c>
      <c r="K1257" s="14" t="str">
        <f>HYPERLINK("http://twitter.com/download/iphone","Twitter for iPhone")</f>
        <v>Twitter for iPhone</v>
      </c>
      <c r="L1257" s="13">
        <v>1444</v>
      </c>
      <c r="M1257" s="13">
        <v>1110</v>
      </c>
      <c r="N1257" s="13">
        <v>47</v>
      </c>
      <c r="O1257" s="15"/>
      <c r="P1257" s="6">
        <v>40623.635266203702</v>
      </c>
      <c r="Q1257" s="16" t="s">
        <v>118</v>
      </c>
      <c r="R1257" s="17" t="s">
        <v>6216</v>
      </c>
      <c r="S1257" s="11" t="s">
        <v>6217</v>
      </c>
      <c r="T1257" s="12"/>
      <c r="U1257" s="10" t="str">
        <f>HYPERLINK("https://pbs.twimg.com/profile_images/1055230811463712768/ZDH_IqwP.jpg","View")</f>
        <v>View</v>
      </c>
    </row>
    <row r="1258" spans="1:21" ht="30.6">
      <c r="A1258" s="6">
        <v>43425.608391203699</v>
      </c>
      <c r="B1258" s="7" t="str">
        <f>HYPERLINK("https://twitter.com/J_ParraG","@J_ParraG")</f>
        <v>@J_ParraG</v>
      </c>
      <c r="C1258" s="8" t="s">
        <v>697</v>
      </c>
      <c r="D1258" s="9" t="s">
        <v>3115</v>
      </c>
      <c r="E1258" s="10" t="str">
        <f>HYPERLINK("https://twitter.com/J_ParraG/status/1065237413537214464","1065237413537214464")</f>
        <v>1065237413537214464</v>
      </c>
      <c r="F1258" s="11" t="s">
        <v>1700</v>
      </c>
      <c r="G1258" s="12"/>
      <c r="H1258" s="12"/>
      <c r="I1258" s="13">
        <v>1</v>
      </c>
      <c r="J1258" s="13">
        <v>0</v>
      </c>
      <c r="K1258" s="14" t="str">
        <f>HYPERLINK("http://twitter.com/download/android","Twitter for Android")</f>
        <v>Twitter for Android</v>
      </c>
      <c r="L1258" s="13">
        <v>380</v>
      </c>
      <c r="M1258" s="13">
        <v>967</v>
      </c>
      <c r="N1258" s="13">
        <v>14</v>
      </c>
      <c r="O1258" s="15"/>
      <c r="P1258" s="6">
        <v>40918.953576388885</v>
      </c>
      <c r="Q1258" s="16" t="s">
        <v>700</v>
      </c>
      <c r="R1258" s="17" t="s">
        <v>701</v>
      </c>
      <c r="S1258" s="12"/>
      <c r="T1258" s="12"/>
      <c r="U1258" s="10" t="str">
        <f>HYPERLINK("https://pbs.twimg.com/profile_images/1048291555134656513/KPn63Fw4.jpg","View")</f>
        <v>View</v>
      </c>
    </row>
    <row r="1259" spans="1:21" ht="30.6">
      <c r="A1259" s="6">
        <v>43425.608333333337</v>
      </c>
      <c r="B1259" s="7" t="str">
        <f>HYPERLINK("https://twitter.com/publico_es","@publico_es")</f>
        <v>@publico_es</v>
      </c>
      <c r="C1259" s="8" t="s">
        <v>2597</v>
      </c>
      <c r="D1259" s="9" t="s">
        <v>6218</v>
      </c>
      <c r="E1259" s="10" t="str">
        <f>HYPERLINK("https://twitter.com/publico_es/status/1065237393148567555","1065237393148567555")</f>
        <v>1065237393148567555</v>
      </c>
      <c r="F1259" s="11" t="s">
        <v>2078</v>
      </c>
      <c r="G1259" s="12"/>
      <c r="H1259" s="12"/>
      <c r="I1259" s="13">
        <v>25</v>
      </c>
      <c r="J1259" s="13">
        <v>28</v>
      </c>
      <c r="K1259" s="14" t="str">
        <f>HYPERLINK("https://about.twitter.com/products/tweetdeck","TweetDeck")</f>
        <v>TweetDeck</v>
      </c>
      <c r="L1259" s="13">
        <v>911012</v>
      </c>
      <c r="M1259" s="13">
        <v>1455</v>
      </c>
      <c r="N1259" s="13">
        <v>14825</v>
      </c>
      <c r="O1259" s="18" t="s">
        <v>36</v>
      </c>
      <c r="P1259" s="6">
        <v>39779.559525462959</v>
      </c>
      <c r="Q1259" s="16" t="s">
        <v>440</v>
      </c>
      <c r="R1259" s="17" t="s">
        <v>2602</v>
      </c>
      <c r="S1259" s="11" t="s">
        <v>2603</v>
      </c>
      <c r="T1259" s="12"/>
      <c r="U1259" s="10" t="str">
        <f>HYPERLINK("https://pbs.twimg.com/profile_images/1048242435682422786/FdzZWHU8.jpg","View")</f>
        <v>View</v>
      </c>
    </row>
    <row r="1260" spans="1:21" ht="20.399999999999999">
      <c r="A1260" s="6">
        <v>43425.608287037037</v>
      </c>
      <c r="B1260" s="7" t="str">
        <f>HYPERLINK("https://twitter.com/jovenandaluz","@jovenandaluz")</f>
        <v>@jovenandaluz</v>
      </c>
      <c r="C1260" s="8" t="s">
        <v>6219</v>
      </c>
      <c r="D1260" s="9" t="s">
        <v>1697</v>
      </c>
      <c r="E1260" s="10" t="str">
        <f>HYPERLINK("https://twitter.com/jovenandaluz/status/1065237379064188928","1065237379064188928")</f>
        <v>1065237379064188928</v>
      </c>
      <c r="F1260" s="11" t="s">
        <v>1700</v>
      </c>
      <c r="G1260" s="12"/>
      <c r="H1260" s="12"/>
      <c r="I1260" s="13">
        <v>0</v>
      </c>
      <c r="J1260" s="13">
        <v>0</v>
      </c>
      <c r="K1260" s="14" t="str">
        <f>HYPERLINK("http://twitter.com","Twitter Web Client")</f>
        <v>Twitter Web Client</v>
      </c>
      <c r="L1260" s="13">
        <v>2552</v>
      </c>
      <c r="M1260" s="13">
        <v>2583</v>
      </c>
      <c r="N1260" s="13">
        <v>11</v>
      </c>
      <c r="O1260" s="15"/>
      <c r="P1260" s="6">
        <v>41374.977905092594</v>
      </c>
      <c r="Q1260" s="12"/>
      <c r="R1260" s="17" t="s">
        <v>6220</v>
      </c>
      <c r="S1260" s="12"/>
      <c r="T1260" s="12"/>
      <c r="U1260" s="10" t="str">
        <f>HYPERLINK("https://pbs.twimg.com/profile_images/925604270266777601/iLksBSPw.jpg","View")</f>
        <v>View</v>
      </c>
    </row>
    <row r="1261" spans="1:21" ht="51">
      <c r="A1261" s="6">
        <v>43425.608217592591</v>
      </c>
      <c r="B1261" s="7" t="str">
        <f>HYPERLINK("https://twitter.com/baezdhugo","@baezdhugo")</f>
        <v>@baezdhugo</v>
      </c>
      <c r="C1261" s="8" t="s">
        <v>3116</v>
      </c>
      <c r="D1261" s="9" t="s">
        <v>3117</v>
      </c>
      <c r="E1261" s="10" t="str">
        <f>HYPERLINK("https://twitter.com/baezdhugo/status/1065237353365684230","1065237353365684230")</f>
        <v>1065237353365684230</v>
      </c>
      <c r="F1261" s="16" t="s">
        <v>3118</v>
      </c>
      <c r="G1261" s="11" t="s">
        <v>2571</v>
      </c>
      <c r="H1261" s="12"/>
      <c r="I1261" s="13">
        <v>1</v>
      </c>
      <c r="J1261" s="13">
        <v>3</v>
      </c>
      <c r="K1261" s="14" t="str">
        <f>HYPERLINK("http://twitter.com/download/iphone","Twitter for iPhone")</f>
        <v>Twitter for iPhone</v>
      </c>
      <c r="L1261" s="13">
        <v>922</v>
      </c>
      <c r="M1261" s="13">
        <v>1921</v>
      </c>
      <c r="N1261" s="13">
        <v>9</v>
      </c>
      <c r="O1261" s="15"/>
      <c r="P1261" s="6">
        <v>40856.347094907411</v>
      </c>
      <c r="Q1261" s="16" t="s">
        <v>3119</v>
      </c>
      <c r="R1261" s="17" t="s">
        <v>3120</v>
      </c>
      <c r="S1261" s="12"/>
      <c r="T1261" s="12"/>
      <c r="U1261" s="10" t="str">
        <f>HYPERLINK("https://pbs.twimg.com/profile_images/1034198258338418690/OuR2blvw.jpg","View")</f>
        <v>View</v>
      </c>
    </row>
    <row r="1262" spans="1:21" ht="40.799999999999997">
      <c r="A1262" s="6">
        <v>43425.607638888891</v>
      </c>
      <c r="B1262" s="7" t="str">
        <f>HYPERLINK("https://twitter.com/clubdeviernes","@clubdeviernes")</f>
        <v>@clubdeviernes</v>
      </c>
      <c r="C1262" s="8" t="s">
        <v>3121</v>
      </c>
      <c r="D1262" s="9" t="s">
        <v>3122</v>
      </c>
      <c r="E1262" s="10" t="str">
        <f>HYPERLINK("https://twitter.com/clubdeviernes/status/1065237141112930304","1065237141112930304")</f>
        <v>1065237141112930304</v>
      </c>
      <c r="F1262" s="12"/>
      <c r="G1262" s="12"/>
      <c r="H1262" s="12"/>
      <c r="I1262" s="13">
        <v>11</v>
      </c>
      <c r="J1262" s="13">
        <v>23</v>
      </c>
      <c r="K1262" s="14" t="str">
        <f>HYPERLINK("http://twitter.com/download/android","Twitter for Android")</f>
        <v>Twitter for Android</v>
      </c>
      <c r="L1262" s="13">
        <v>53475</v>
      </c>
      <c r="M1262" s="13">
        <v>11368</v>
      </c>
      <c r="N1262" s="13">
        <v>574</v>
      </c>
      <c r="O1262" s="18" t="s">
        <v>36</v>
      </c>
      <c r="P1262" s="6">
        <v>42001.706365740742</v>
      </c>
      <c r="Q1262" s="16" t="s">
        <v>37</v>
      </c>
      <c r="R1262" s="17" t="s">
        <v>3125</v>
      </c>
      <c r="S1262" s="11" t="s">
        <v>3126</v>
      </c>
      <c r="T1262" s="12"/>
      <c r="U1262" s="10" t="str">
        <f>HYPERLINK("https://pbs.twimg.com/profile_images/1050461122363609088/CI9sSBYY.jpg","View")</f>
        <v>View</v>
      </c>
    </row>
    <row r="1263" spans="1:21" ht="61.2">
      <c r="A1263" s="6">
        <v>43425.607141203705</v>
      </c>
      <c r="B1263" s="7" t="str">
        <f>HYPERLINK("https://twitter.com/JacoNaufrago","@JacoNaufrago")</f>
        <v>@JacoNaufrago</v>
      </c>
      <c r="C1263" s="8" t="s">
        <v>6221</v>
      </c>
      <c r="D1263" s="9" t="s">
        <v>6222</v>
      </c>
      <c r="E1263" s="10" t="str">
        <f>HYPERLINK("https://twitter.com/JacoNaufrago/status/1065236962490097665","1065236962490097665")</f>
        <v>1065236962490097665</v>
      </c>
      <c r="F1263" s="11" t="s">
        <v>6223</v>
      </c>
      <c r="G1263" s="12"/>
      <c r="H1263" s="12"/>
      <c r="I1263" s="13">
        <v>0</v>
      </c>
      <c r="J1263" s="13">
        <v>0</v>
      </c>
      <c r="K1263" s="14" t="str">
        <f>HYPERLINK("http://twitter.com/download/iphone","Twitter for iPhone")</f>
        <v>Twitter for iPhone</v>
      </c>
      <c r="L1263" s="13">
        <v>395</v>
      </c>
      <c r="M1263" s="13">
        <v>426</v>
      </c>
      <c r="N1263" s="13">
        <v>0</v>
      </c>
      <c r="O1263" s="15"/>
      <c r="P1263" s="6">
        <v>43402.844328703708</v>
      </c>
      <c r="Q1263" s="16" t="s">
        <v>6224</v>
      </c>
      <c r="R1263" s="17" t="s">
        <v>6225</v>
      </c>
      <c r="S1263" s="12"/>
      <c r="T1263" s="12"/>
      <c r="U1263" s="10" t="str">
        <f>HYPERLINK("https://pbs.twimg.com/profile_images/1063197658079260672/2Ky1VWAv.jpg","View")</f>
        <v>View</v>
      </c>
    </row>
    <row r="1264" spans="1:21" ht="40.799999999999997">
      <c r="A1264" s="6">
        <v>43425.606041666666</v>
      </c>
      <c r="B1264" s="7" t="str">
        <f>HYPERLINK("https://twitter.com/b_estrella","@b_estrella")</f>
        <v>@b_estrella</v>
      </c>
      <c r="C1264" s="8" t="s">
        <v>6226</v>
      </c>
      <c r="D1264" s="9" t="s">
        <v>6227</v>
      </c>
      <c r="E1264" s="10" t="str">
        <f>HYPERLINK("https://twitter.com/b_estrella/status/1065236561770483712","1065236561770483712")</f>
        <v>1065236561770483712</v>
      </c>
      <c r="F1264" s="11" t="s">
        <v>6228</v>
      </c>
      <c r="G1264" s="12"/>
      <c r="H1264" s="12"/>
      <c r="I1264" s="13">
        <v>0</v>
      </c>
      <c r="J1264" s="13">
        <v>0</v>
      </c>
      <c r="K1264" s="14" t="str">
        <f>HYPERLINK("http://twitter.com","Twitter Web Client")</f>
        <v>Twitter Web Client</v>
      </c>
      <c r="L1264" s="13">
        <v>728</v>
      </c>
      <c r="M1264" s="13">
        <v>2431</v>
      </c>
      <c r="N1264" s="13">
        <v>9</v>
      </c>
      <c r="O1264" s="15"/>
      <c r="P1264" s="6">
        <v>40760.600590277776</v>
      </c>
      <c r="Q1264" s="16" t="s">
        <v>6229</v>
      </c>
      <c r="R1264" s="17" t="s">
        <v>6230</v>
      </c>
      <c r="S1264" s="12"/>
      <c r="T1264" s="12"/>
      <c r="U1264" s="10" t="str">
        <f>HYPERLINK("https://pbs.twimg.com/profile_images/616664796507844609/Zv41DCJ8.jpg","View")</f>
        <v>View</v>
      </c>
    </row>
    <row r="1265" spans="1:21" ht="61.2">
      <c r="A1265" s="6">
        <v>43425.605833333335</v>
      </c>
      <c r="B1265" s="7" t="str">
        <f>HYPERLINK("https://twitter.com/Bluecommander29","@Bluecommander29")</f>
        <v>@Bluecommander29</v>
      </c>
      <c r="C1265" s="8" t="s">
        <v>1458</v>
      </c>
      <c r="D1265" s="9" t="s">
        <v>3128</v>
      </c>
      <c r="E1265" s="10" t="str">
        <f>HYPERLINK("https://twitter.com/Bluecommander29/status/1065236486189137921","1065236486189137921")</f>
        <v>1065236486189137921</v>
      </c>
      <c r="F1265" s="12"/>
      <c r="G1265" s="11" t="s">
        <v>3130</v>
      </c>
      <c r="H1265" s="12"/>
      <c r="I1265" s="13">
        <v>14</v>
      </c>
      <c r="J1265" s="13">
        <v>8</v>
      </c>
      <c r="K1265" s="14" t="str">
        <f t="shared" ref="K1265:K1267" si="261">HYPERLINK("http://twitter.com/download/android","Twitter for Android")</f>
        <v>Twitter for Android</v>
      </c>
      <c r="L1265" s="13">
        <v>166</v>
      </c>
      <c r="M1265" s="13">
        <v>117</v>
      </c>
      <c r="N1265" s="13">
        <v>4</v>
      </c>
      <c r="O1265" s="15"/>
      <c r="P1265" s="6">
        <v>40935.550902777773</v>
      </c>
      <c r="Q1265" s="12"/>
      <c r="R1265" s="17" t="s">
        <v>1464</v>
      </c>
      <c r="S1265" s="12"/>
      <c r="T1265" s="12"/>
      <c r="U1265" s="10" t="str">
        <f>HYPERLINK("https://pbs.twimg.com/profile_images/1060178101940969472/55RUcn3a.jpg","View")</f>
        <v>View</v>
      </c>
    </row>
    <row r="1266" spans="1:21" ht="30.6">
      <c r="A1266" s="6">
        <v>43425.605173611111</v>
      </c>
      <c r="B1266" s="7" t="str">
        <f>HYPERLINK("https://twitter.com/femmetrans2","@femmetrans2")</f>
        <v>@femmetrans2</v>
      </c>
      <c r="C1266" s="8" t="s">
        <v>6231</v>
      </c>
      <c r="D1266" s="9" t="s">
        <v>6232</v>
      </c>
      <c r="E1266" s="10" t="str">
        <f>HYPERLINK("https://twitter.com/femmetrans2/status/1065236247017340928","1065236247017340928")</f>
        <v>1065236247017340928</v>
      </c>
      <c r="F1266" s="12"/>
      <c r="G1266" s="12"/>
      <c r="H1266" s="12"/>
      <c r="I1266" s="13">
        <v>0</v>
      </c>
      <c r="J1266" s="13">
        <v>0</v>
      </c>
      <c r="K1266" s="14" t="str">
        <f t="shared" si="261"/>
        <v>Twitter for Android</v>
      </c>
      <c r="L1266" s="13">
        <v>13</v>
      </c>
      <c r="M1266" s="13">
        <v>45</v>
      </c>
      <c r="N1266" s="13">
        <v>0</v>
      </c>
      <c r="O1266" s="15"/>
      <c r="P1266" s="6">
        <v>43420.849282407406</v>
      </c>
      <c r="Q1266" s="16" t="s">
        <v>6233</v>
      </c>
      <c r="R1266" s="17" t="s">
        <v>6234</v>
      </c>
      <c r="S1266" s="12"/>
      <c r="T1266" s="12"/>
      <c r="U1266" s="10" t="str">
        <f>HYPERLINK("https://pbs.twimg.com/profile_images/1063523035494404096/fRssHApI.jpg","View")</f>
        <v>View</v>
      </c>
    </row>
    <row r="1267" spans="1:21" ht="40.799999999999997">
      <c r="A1267" s="6">
        <v>43425.605057870373</v>
      </c>
      <c r="B1267" s="7" t="str">
        <f>HYPERLINK("https://twitter.com/estoyakiok","@estoyakiok")</f>
        <v>@estoyakiok</v>
      </c>
      <c r="C1267" s="8" t="s">
        <v>6235</v>
      </c>
      <c r="D1267" s="9" t="s">
        <v>6236</v>
      </c>
      <c r="E1267" s="10" t="str">
        <f>HYPERLINK("https://twitter.com/estoyakiok/status/1065236208719200257","1065236208719200257")</f>
        <v>1065236208719200257</v>
      </c>
      <c r="F1267" s="16" t="s">
        <v>2504</v>
      </c>
      <c r="G1267" s="12"/>
      <c r="H1267" s="12"/>
      <c r="I1267" s="13">
        <v>2</v>
      </c>
      <c r="J1267" s="13">
        <v>5</v>
      </c>
      <c r="K1267" s="14" t="str">
        <f t="shared" si="261"/>
        <v>Twitter for Android</v>
      </c>
      <c r="L1267" s="13">
        <v>14534</v>
      </c>
      <c r="M1267" s="13">
        <v>4311</v>
      </c>
      <c r="N1267" s="13">
        <v>110</v>
      </c>
      <c r="O1267" s="15"/>
      <c r="P1267" s="6">
        <v>40587.630787037036</v>
      </c>
      <c r="Q1267" s="16" t="s">
        <v>6237</v>
      </c>
      <c r="R1267" s="17" t="s">
        <v>6238</v>
      </c>
      <c r="S1267" s="12"/>
      <c r="T1267" s="12"/>
      <c r="U1267" s="10" t="str">
        <f>HYPERLINK("https://pbs.twimg.com/profile_images/950325225593425922/DpWJlaLV.jpg","View")</f>
        <v>View</v>
      </c>
    </row>
    <row r="1268" spans="1:21" ht="30.6">
      <c r="A1268" s="6">
        <v>43425.602511574078</v>
      </c>
      <c r="B1268" s="7" t="str">
        <f>HYPERLINK("https://twitter.com/PBMarbeMalaga","@PBMarbeMalaga")</f>
        <v>@PBMarbeMalaga</v>
      </c>
      <c r="C1268" s="8" t="s">
        <v>2068</v>
      </c>
      <c r="D1268" s="9" t="s">
        <v>6239</v>
      </c>
      <c r="E1268" s="10" t="str">
        <f>HYPERLINK("https://twitter.com/PBMarbeMalaga/status/1065235285502509058","1065235285502509058")</f>
        <v>1065235285502509058</v>
      </c>
      <c r="F1268" s="11" t="s">
        <v>6240</v>
      </c>
      <c r="G1268" s="12"/>
      <c r="H1268" s="12"/>
      <c r="I1268" s="13">
        <v>0</v>
      </c>
      <c r="J1268" s="13">
        <v>0</v>
      </c>
      <c r="K1268" s="14" t="str">
        <f>HYPERLINK("https://javitang.ddns.net","PBMarbeMalaga")</f>
        <v>PBMarbeMalaga</v>
      </c>
      <c r="L1268" s="13">
        <v>1222</v>
      </c>
      <c r="M1268" s="13">
        <v>1245</v>
      </c>
      <c r="N1268" s="13">
        <v>2</v>
      </c>
      <c r="O1268" s="15"/>
      <c r="P1268" s="6">
        <v>43149.814074074078</v>
      </c>
      <c r="Q1268" s="16" t="s">
        <v>2073</v>
      </c>
      <c r="R1268" s="17" t="s">
        <v>2074</v>
      </c>
      <c r="S1268" s="12"/>
      <c r="T1268" s="12"/>
      <c r="U1268" s="10" t="str">
        <f>HYPERLINK("https://pbs.twimg.com/profile_images/965296691145531392/sAFnfUu2.jpg","View")</f>
        <v>View</v>
      </c>
    </row>
    <row r="1269" spans="1:21" ht="20.399999999999999">
      <c r="A1269" s="6">
        <v>43425.602222222224</v>
      </c>
      <c r="B1269" s="7" t="str">
        <f>HYPERLINK("https://twitter.com/alejohborges","@alejohborges")</f>
        <v>@alejohborges</v>
      </c>
      <c r="C1269" s="8" t="s">
        <v>6241</v>
      </c>
      <c r="D1269" s="9" t="s">
        <v>1697</v>
      </c>
      <c r="E1269" s="10" t="str">
        <f>HYPERLINK("https://twitter.com/alejohborges/status/1065235180707856384","1065235180707856384")</f>
        <v>1065235180707856384</v>
      </c>
      <c r="F1269" s="11" t="s">
        <v>1700</v>
      </c>
      <c r="G1269" s="12"/>
      <c r="H1269" s="12"/>
      <c r="I1269" s="13">
        <v>1</v>
      </c>
      <c r="J1269" s="13">
        <v>0</v>
      </c>
      <c r="K1269" s="14" t="str">
        <f>HYPERLINK("http://twitter.com","Twitter Web Client")</f>
        <v>Twitter Web Client</v>
      </c>
      <c r="L1269" s="13">
        <v>257</v>
      </c>
      <c r="M1269" s="13">
        <v>1139</v>
      </c>
      <c r="N1269" s="13">
        <v>2</v>
      </c>
      <c r="O1269" s="15"/>
      <c r="P1269" s="6">
        <v>40556.589837962965</v>
      </c>
      <c r="Q1269" s="16" t="s">
        <v>6242</v>
      </c>
      <c r="R1269" s="19"/>
      <c r="S1269" s="12"/>
      <c r="T1269" s="12"/>
      <c r="U1269" s="10" t="str">
        <f>HYPERLINK("https://pbs.twimg.com/profile_images/976263324588441601/lYoydwpo.jpg","View")</f>
        <v>View</v>
      </c>
    </row>
    <row r="1270" spans="1:21" ht="13.2">
      <c r="A1270" s="6">
        <v>43425.601354166662</v>
      </c>
      <c r="B1270" s="7" t="str">
        <f>HYPERLINK("https://twitter.com/elcigalator","@elcigalator")</f>
        <v>@elcigalator</v>
      </c>
      <c r="C1270" s="8" t="s">
        <v>3132</v>
      </c>
      <c r="D1270" s="9" t="s">
        <v>3133</v>
      </c>
      <c r="E1270" s="10" t="str">
        <f>HYPERLINK("https://twitter.com/elcigalator/status/1065234862607609856","1065234862607609856")</f>
        <v>1065234862607609856</v>
      </c>
      <c r="F1270" s="12"/>
      <c r="G1270" s="11" t="s">
        <v>3134</v>
      </c>
      <c r="H1270" s="12"/>
      <c r="I1270" s="13">
        <v>0</v>
      </c>
      <c r="J1270" s="13">
        <v>0</v>
      </c>
      <c r="K1270" s="14" t="str">
        <f>HYPERLINK("http://twitter.com/download/iphone","Twitter for iPhone")</f>
        <v>Twitter for iPhone</v>
      </c>
      <c r="L1270" s="13">
        <v>38</v>
      </c>
      <c r="M1270" s="13">
        <v>40</v>
      </c>
      <c r="N1270" s="13">
        <v>0</v>
      </c>
      <c r="O1270" s="15"/>
      <c r="P1270" s="6">
        <v>42842.607337962967</v>
      </c>
      <c r="Q1270" s="16" t="s">
        <v>3135</v>
      </c>
      <c r="R1270" s="17" t="s">
        <v>3136</v>
      </c>
      <c r="S1270" s="12"/>
      <c r="T1270" s="12"/>
      <c r="U1270" s="10" t="str">
        <f>HYPERLINK("https://pbs.twimg.com/profile_images/892676176082239488/1ruRAeuR.jpg","View")</f>
        <v>View</v>
      </c>
    </row>
    <row r="1271" spans="1:21" ht="40.799999999999997">
      <c r="A1271" s="6">
        <v>43425.59951388889</v>
      </c>
      <c r="B1271" s="7" t="str">
        <f>HYPERLINK("https://twitter.com/CesarHistoria91","@CesarHistoria91")</f>
        <v>@CesarHistoria91</v>
      </c>
      <c r="C1271" s="8" t="s">
        <v>6243</v>
      </c>
      <c r="D1271" s="9" t="s">
        <v>6244</v>
      </c>
      <c r="E1271" s="10" t="str">
        <f>HYPERLINK("https://twitter.com/CesarHistoria91/status/1065234195931385856","1065234195931385856")</f>
        <v>1065234195931385856</v>
      </c>
      <c r="F1271" s="12"/>
      <c r="G1271" s="12"/>
      <c r="H1271" s="12"/>
      <c r="I1271" s="13">
        <v>5</v>
      </c>
      <c r="J1271" s="13">
        <v>10</v>
      </c>
      <c r="K1271" s="14" t="str">
        <f>HYPERLINK("http://twitter.com/download/android","Twitter for Android")</f>
        <v>Twitter for Android</v>
      </c>
      <c r="L1271" s="13">
        <v>664</v>
      </c>
      <c r="M1271" s="13">
        <v>498</v>
      </c>
      <c r="N1271" s="13">
        <v>22</v>
      </c>
      <c r="O1271" s="15"/>
      <c r="P1271" s="6">
        <v>40579.592303240745</v>
      </c>
      <c r="Q1271" s="16" t="s">
        <v>106</v>
      </c>
      <c r="R1271" s="17" t="s">
        <v>6245</v>
      </c>
      <c r="S1271" s="11" t="s">
        <v>6246</v>
      </c>
      <c r="T1271" s="12"/>
      <c r="U1271" s="10" t="str">
        <f>HYPERLINK("https://pbs.twimg.com/profile_images/1022177927147020290/8rrrUgF-.jpg","View")</f>
        <v>View</v>
      </c>
    </row>
    <row r="1272" spans="1:21" ht="40.799999999999997">
      <c r="A1272" s="6">
        <v>43425.599247685182</v>
      </c>
      <c r="B1272" s="7" t="str">
        <f>HYPERLINK("https://twitter.com/piensoluegoesto","@piensoluegoesto")</f>
        <v>@piensoluegoesto</v>
      </c>
      <c r="C1272" s="8" t="s">
        <v>6247</v>
      </c>
      <c r="D1272" s="9" t="s">
        <v>1963</v>
      </c>
      <c r="E1272" s="10" t="str">
        <f>HYPERLINK("https://twitter.com/piensoluegoesto/status/1065234101127524352","1065234101127524352")</f>
        <v>1065234101127524352</v>
      </c>
      <c r="F1272" s="11" t="s">
        <v>6152</v>
      </c>
      <c r="G1272" s="12"/>
      <c r="H1272" s="12"/>
      <c r="I1272" s="13">
        <v>0</v>
      </c>
      <c r="J1272" s="13">
        <v>0</v>
      </c>
      <c r="K1272" s="14" t="str">
        <f>HYPERLINK("http://www.facebook.com/twitter","Facebook")</f>
        <v>Facebook</v>
      </c>
      <c r="L1272" s="13">
        <v>2123</v>
      </c>
      <c r="M1272" s="13">
        <v>2074</v>
      </c>
      <c r="N1272" s="13">
        <v>22</v>
      </c>
      <c r="O1272" s="15"/>
      <c r="P1272" s="6">
        <v>40508.083506944444</v>
      </c>
      <c r="Q1272" s="16" t="s">
        <v>6248</v>
      </c>
      <c r="R1272" s="17" t="s">
        <v>6249</v>
      </c>
      <c r="S1272" s="12"/>
      <c r="T1272" s="12"/>
      <c r="U1272" s="10" t="str">
        <f>HYPERLINK("https://pbs.twimg.com/profile_images/1035179458809016322/n3i7y1lL.jpg","View")</f>
        <v>View</v>
      </c>
    </row>
    <row r="1273" spans="1:21" ht="40.799999999999997">
      <c r="A1273" s="6">
        <v>43425.598449074074</v>
      </c>
      <c r="B1273" s="7" t="str">
        <f>HYPERLINK("https://twitter.com/robbhaifisch","@robbhaifisch")</f>
        <v>@robbhaifisch</v>
      </c>
      <c r="C1273" s="8" t="s">
        <v>6250</v>
      </c>
      <c r="D1273" s="9" t="s">
        <v>6251</v>
      </c>
      <c r="E1273" s="10" t="str">
        <f>HYPERLINK("https://twitter.com/robbhaifisch/status/1065233813532491776","1065233813532491776")</f>
        <v>1065233813532491776</v>
      </c>
      <c r="F1273" s="12"/>
      <c r="G1273" s="11" t="s">
        <v>6252</v>
      </c>
      <c r="H1273" s="12"/>
      <c r="I1273" s="13">
        <v>0</v>
      </c>
      <c r="J1273" s="13">
        <v>0</v>
      </c>
      <c r="K1273" s="14" t="str">
        <f>HYPERLINK("http://twitter.com/download/iphone","Twitter for iPhone")</f>
        <v>Twitter for iPhone</v>
      </c>
      <c r="L1273" s="13">
        <v>63</v>
      </c>
      <c r="M1273" s="13">
        <v>61</v>
      </c>
      <c r="N1273" s="13">
        <v>13</v>
      </c>
      <c r="O1273" s="15"/>
      <c r="P1273" s="6">
        <v>41152.361643518518</v>
      </c>
      <c r="Q1273" s="12"/>
      <c r="R1273" s="17" t="s">
        <v>6253</v>
      </c>
      <c r="S1273" s="12"/>
      <c r="T1273" s="12"/>
      <c r="U1273" s="10" t="str">
        <f>HYPERLINK("https://pbs.twimg.com/profile_images/421398000263782400/5gVMKKlH.jpeg","View")</f>
        <v>View</v>
      </c>
    </row>
    <row r="1274" spans="1:21" ht="20.399999999999999">
      <c r="A1274" s="6">
        <v>43425.596377314811</v>
      </c>
      <c r="B1274" s="7" t="str">
        <f>HYPERLINK("https://twitter.com/sleepers_0","@sleepers_0")</f>
        <v>@sleepers_0</v>
      </c>
      <c r="C1274" s="8" t="s">
        <v>3228</v>
      </c>
      <c r="D1274" s="9" t="s">
        <v>6254</v>
      </c>
      <c r="E1274" s="10" t="str">
        <f>HYPERLINK("https://twitter.com/sleepers_0/status/1065233060273299456","1065233060273299456")</f>
        <v>1065233060273299456</v>
      </c>
      <c r="F1274" s="11" t="s">
        <v>1393</v>
      </c>
      <c r="G1274" s="12"/>
      <c r="H1274" s="12"/>
      <c r="I1274" s="13">
        <v>0</v>
      </c>
      <c r="J1274" s="13">
        <v>0</v>
      </c>
      <c r="K1274" s="14" t="str">
        <f t="shared" ref="K1274:K1275" si="262">HYPERLINK("http://twitter.com/download/android","Twitter for Android")</f>
        <v>Twitter for Android</v>
      </c>
      <c r="L1274" s="13">
        <v>487</v>
      </c>
      <c r="M1274" s="13">
        <v>501</v>
      </c>
      <c r="N1274" s="13">
        <v>4</v>
      </c>
      <c r="O1274" s="15"/>
      <c r="P1274" s="6">
        <v>41826.580416666664</v>
      </c>
      <c r="Q1274" s="12"/>
      <c r="R1274" s="19"/>
      <c r="S1274" s="12"/>
      <c r="T1274" s="12"/>
      <c r="U1274" s="10" t="str">
        <f>HYPERLINK("https://pbs.twimg.com/profile_images/562000920494739457/t_VeZJTN.jpeg","View")</f>
        <v>View</v>
      </c>
    </row>
    <row r="1275" spans="1:21" ht="51">
      <c r="A1275" s="6">
        <v>43425.596354166672</v>
      </c>
      <c r="B1275" s="7" t="str">
        <f>HYPERLINK("https://twitter.com/juluniver","@juluniver")</f>
        <v>@juluniver</v>
      </c>
      <c r="C1275" s="8" t="s">
        <v>368</v>
      </c>
      <c r="D1275" s="9" t="s">
        <v>3137</v>
      </c>
      <c r="E1275" s="10" t="str">
        <f>HYPERLINK("https://twitter.com/juluniver/status/1065233054279639040","1065233054279639040")</f>
        <v>1065233054279639040</v>
      </c>
      <c r="F1275" s="11" t="s">
        <v>3139</v>
      </c>
      <c r="G1275" s="12"/>
      <c r="H1275" s="12"/>
      <c r="I1275" s="13">
        <v>0</v>
      </c>
      <c r="J1275" s="13">
        <v>0</v>
      </c>
      <c r="K1275" s="14" t="str">
        <f t="shared" si="262"/>
        <v>Twitter for Android</v>
      </c>
      <c r="L1275" s="13">
        <v>143</v>
      </c>
      <c r="M1275" s="13">
        <v>91</v>
      </c>
      <c r="N1275" s="13">
        <v>2</v>
      </c>
      <c r="O1275" s="15"/>
      <c r="P1275" s="6">
        <v>42166.543541666666</v>
      </c>
      <c r="Q1275" s="16" t="s">
        <v>371</v>
      </c>
      <c r="R1275" s="17" t="s">
        <v>372</v>
      </c>
      <c r="S1275" s="12"/>
      <c r="T1275" s="12"/>
      <c r="U1275" s="10" t="str">
        <f>HYPERLINK("https://pbs.twimg.com/profile_images/847880241892777992/Krxx7fp-.jpg","View")</f>
        <v>View</v>
      </c>
    </row>
    <row r="1276" spans="1:21" ht="30.6">
      <c r="A1276" s="6">
        <v>43425.596018518518</v>
      </c>
      <c r="B1276" s="7" t="str">
        <f>HYPERLINK("https://twitter.com/en16nueve","@en16nueve")</f>
        <v>@en16nueve</v>
      </c>
      <c r="C1276" s="8" t="s">
        <v>6255</v>
      </c>
      <c r="D1276" s="9" t="s">
        <v>6256</v>
      </c>
      <c r="E1276" s="10" t="str">
        <f>HYPERLINK("https://twitter.com/en16nueve/status/1065232931738787841","1065232931738787841")</f>
        <v>1065232931738787841</v>
      </c>
      <c r="F1276" s="12"/>
      <c r="G1276" s="12"/>
      <c r="H1276" s="12"/>
      <c r="I1276" s="13">
        <v>0</v>
      </c>
      <c r="J1276" s="13">
        <v>1</v>
      </c>
      <c r="K1276" s="14" t="str">
        <f t="shared" ref="K1276:K1277" si="263">HYPERLINK("http://twitter.com/download/iphone","Twitter for iPhone")</f>
        <v>Twitter for iPhone</v>
      </c>
      <c r="L1276" s="13">
        <v>22</v>
      </c>
      <c r="M1276" s="13">
        <v>100</v>
      </c>
      <c r="N1276" s="13">
        <v>1</v>
      </c>
      <c r="O1276" s="15"/>
      <c r="P1276" s="6">
        <v>42249.529351851852</v>
      </c>
      <c r="Q1276" s="12"/>
      <c r="R1276" s="17" t="s">
        <v>6257</v>
      </c>
      <c r="S1276" s="11" t="s">
        <v>6258</v>
      </c>
      <c r="T1276" s="12"/>
      <c r="U1276" s="10" t="str">
        <f>HYPERLINK("https://pbs.twimg.com/profile_images/864761793318723584/8Q1r_gNx.jpg","View")</f>
        <v>View</v>
      </c>
    </row>
    <row r="1277" spans="1:21" ht="40.799999999999997">
      <c r="A1277" s="6">
        <v>43425.595277777778</v>
      </c>
      <c r="B1277" s="7" t="str">
        <f>HYPERLINK("https://twitter.com/elnath_taur","@elnath_taur")</f>
        <v>@elnath_taur</v>
      </c>
      <c r="C1277" s="8" t="s">
        <v>6259</v>
      </c>
      <c r="D1277" s="9" t="s">
        <v>6260</v>
      </c>
      <c r="E1277" s="10" t="str">
        <f>HYPERLINK("https://twitter.com/elnath_taur/status/1065232662787473410","1065232662787473410")</f>
        <v>1065232662787473410</v>
      </c>
      <c r="F1277" s="12"/>
      <c r="G1277" s="12"/>
      <c r="H1277" s="12"/>
      <c r="I1277" s="13">
        <v>0</v>
      </c>
      <c r="J1277" s="13">
        <v>0</v>
      </c>
      <c r="K1277" s="14" t="str">
        <f t="shared" si="263"/>
        <v>Twitter for iPhone</v>
      </c>
      <c r="L1277" s="13">
        <v>62</v>
      </c>
      <c r="M1277" s="13">
        <v>372</v>
      </c>
      <c r="N1277" s="13">
        <v>0</v>
      </c>
      <c r="O1277" s="15"/>
      <c r="P1277" s="6">
        <v>43251.964826388888</v>
      </c>
      <c r="Q1277" s="16" t="s">
        <v>6261</v>
      </c>
      <c r="R1277" s="17" t="s">
        <v>6262</v>
      </c>
      <c r="S1277" s="12"/>
      <c r="T1277" s="12"/>
      <c r="U1277" s="10" t="str">
        <f>HYPERLINK("https://pbs.twimg.com/profile_images/1002296818296868864/tRctdB3Y.jpg","View")</f>
        <v>View</v>
      </c>
    </row>
    <row r="1278" spans="1:21" ht="30.6">
      <c r="A1278" s="6">
        <v>43425.594976851848</v>
      </c>
      <c r="B1278" s="7" t="str">
        <f>HYPERLINK("https://twitter.com/JCampos_97","@JCampos_97")</f>
        <v>@JCampos_97</v>
      </c>
      <c r="C1278" s="8" t="s">
        <v>5918</v>
      </c>
      <c r="D1278" s="9" t="s">
        <v>6263</v>
      </c>
      <c r="E1278" s="10" t="str">
        <f>HYPERLINK("https://twitter.com/JCampos_97/status/1065232552162717696","1065232552162717696")</f>
        <v>1065232552162717696</v>
      </c>
      <c r="F1278" s="12"/>
      <c r="G1278" s="12"/>
      <c r="H1278" s="12"/>
      <c r="I1278" s="13">
        <v>0</v>
      </c>
      <c r="J1278" s="13">
        <v>0</v>
      </c>
      <c r="K1278" s="14" t="str">
        <f>HYPERLINK("http://twitter.com/download/android","Twitter for Android")</f>
        <v>Twitter for Android</v>
      </c>
      <c r="L1278" s="13">
        <v>665</v>
      </c>
      <c r="M1278" s="13">
        <v>342</v>
      </c>
      <c r="N1278" s="13">
        <v>19</v>
      </c>
      <c r="O1278" s="15"/>
      <c r="P1278" s="6">
        <v>40664.576782407406</v>
      </c>
      <c r="Q1278" s="16" t="s">
        <v>6264</v>
      </c>
      <c r="R1278" s="17" t="s">
        <v>6265</v>
      </c>
      <c r="S1278" s="12"/>
      <c r="T1278" s="12"/>
      <c r="U1278" s="10" t="str">
        <f>HYPERLINK("https://pbs.twimg.com/profile_images/1057054036762001409/80GZr_19.jpg","View")</f>
        <v>View</v>
      </c>
    </row>
    <row r="1279" spans="1:21" ht="20.399999999999999">
      <c r="A1279" s="6">
        <v>43425.59475694444</v>
      </c>
      <c r="B1279" s="7" t="str">
        <f>HYPERLINK("https://twitter.com/SantoySegna","@SantoySegna")</f>
        <v>@SantoySegna</v>
      </c>
      <c r="C1279" s="8" t="s">
        <v>6266</v>
      </c>
      <c r="D1279" s="9" t="s">
        <v>1697</v>
      </c>
      <c r="E1279" s="10" t="str">
        <f>HYPERLINK("https://twitter.com/SantoySegna/status/1065232473070678018","1065232473070678018")</f>
        <v>1065232473070678018</v>
      </c>
      <c r="F1279" s="11" t="s">
        <v>1700</v>
      </c>
      <c r="G1279" s="12"/>
      <c r="H1279" s="12"/>
      <c r="I1279" s="13">
        <v>0</v>
      </c>
      <c r="J1279" s="13">
        <v>0</v>
      </c>
      <c r="K1279" s="14" t="str">
        <f>HYPERLINK("http://twitter.com","Twitter Web Client")</f>
        <v>Twitter Web Client</v>
      </c>
      <c r="L1279" s="13">
        <v>297</v>
      </c>
      <c r="M1279" s="13">
        <v>1041</v>
      </c>
      <c r="N1279" s="13">
        <v>7</v>
      </c>
      <c r="O1279" s="15"/>
      <c r="P1279" s="6">
        <v>40682.646122685182</v>
      </c>
      <c r="Q1279" s="16" t="s">
        <v>6242</v>
      </c>
      <c r="R1279" s="17" t="s">
        <v>6267</v>
      </c>
      <c r="S1279" s="12"/>
      <c r="T1279" s="12"/>
      <c r="U1279" s="10" t="str">
        <f>HYPERLINK("https://pbs.twimg.com/profile_images/884132541623668736/xqLy4DTw.jpg","View")</f>
        <v>View</v>
      </c>
    </row>
    <row r="1280" spans="1:21" ht="40.799999999999997">
      <c r="A1280" s="6">
        <v>43425.594629629632</v>
      </c>
      <c r="B1280" s="7" t="str">
        <f>HYPERLINK("https://twitter.com/CiudadanosCs","@CiudadanosCs")</f>
        <v>@CiudadanosCs</v>
      </c>
      <c r="C1280" s="8" t="s">
        <v>196</v>
      </c>
      <c r="D1280" s="9" t="s">
        <v>3144</v>
      </c>
      <c r="E1280" s="10" t="str">
        <f>HYPERLINK("https://twitter.com/CiudadanosCs/status/1065232429672206336","1065232429672206336")</f>
        <v>1065232429672206336</v>
      </c>
      <c r="F1280" s="12"/>
      <c r="G1280" s="11" t="s">
        <v>3145</v>
      </c>
      <c r="H1280" s="12"/>
      <c r="I1280" s="13">
        <v>69</v>
      </c>
      <c r="J1280" s="13">
        <v>102</v>
      </c>
      <c r="K1280" s="14" t="str">
        <f>HYPERLINK("https://studio.twitter.com","Media Studio")</f>
        <v>Media Studio</v>
      </c>
      <c r="L1280" s="13">
        <v>486503</v>
      </c>
      <c r="M1280" s="13">
        <v>93653</v>
      </c>
      <c r="N1280" s="13">
        <v>3318</v>
      </c>
      <c r="O1280" s="18" t="s">
        <v>36</v>
      </c>
      <c r="P1280" s="6">
        <v>39828.753460648149</v>
      </c>
      <c r="Q1280" s="16" t="s">
        <v>37</v>
      </c>
      <c r="R1280" s="17" t="s">
        <v>202</v>
      </c>
      <c r="S1280" s="11" t="s">
        <v>203</v>
      </c>
      <c r="T1280" s="12"/>
      <c r="U1280" s="10" t="str">
        <f>HYPERLINK("https://pbs.twimg.com/profile_images/1053554096161075200/1z77_zBZ.jpg","View")</f>
        <v>View</v>
      </c>
    </row>
    <row r="1281" spans="1:21" ht="51">
      <c r="A1281" s="6">
        <v>43425.594398148147</v>
      </c>
      <c r="B1281" s="7" t="str">
        <f>HYPERLINK("https://twitter.com/Miguel_H_C","@Miguel_H_C")</f>
        <v>@Miguel_H_C</v>
      </c>
      <c r="C1281" s="8" t="s">
        <v>347</v>
      </c>
      <c r="D1281" s="9" t="s">
        <v>3151</v>
      </c>
      <c r="E1281" s="10" t="str">
        <f>HYPERLINK("https://twitter.com/Miguel_H_C/status/1065232342967566337","1065232342967566337")</f>
        <v>1065232342967566337</v>
      </c>
      <c r="F1281" s="12"/>
      <c r="G1281" s="12"/>
      <c r="H1281" s="12"/>
      <c r="I1281" s="13">
        <v>0</v>
      </c>
      <c r="J1281" s="13">
        <v>0</v>
      </c>
      <c r="K1281" s="14" t="str">
        <f t="shared" ref="K1281:K1282" si="264">HYPERLINK("http://twitter.com","Twitter Web Client")</f>
        <v>Twitter Web Client</v>
      </c>
      <c r="L1281" s="13">
        <v>826</v>
      </c>
      <c r="M1281" s="13">
        <v>349</v>
      </c>
      <c r="N1281" s="13">
        <v>8</v>
      </c>
      <c r="O1281" s="15"/>
      <c r="P1281" s="6">
        <v>40816.839016203703</v>
      </c>
      <c r="Q1281" s="16" t="s">
        <v>351</v>
      </c>
      <c r="R1281" s="19"/>
      <c r="S1281" s="12"/>
      <c r="T1281" s="12"/>
      <c r="U1281" s="10" t="str">
        <f>HYPERLINK("https://pbs.twimg.com/profile_images/997011182736302081/6PYtWK2Y.jpg","View")</f>
        <v>View</v>
      </c>
    </row>
    <row r="1282" spans="1:21" ht="40.799999999999997">
      <c r="A1282" s="6">
        <v>43425.594189814816</v>
      </c>
      <c r="B1282" s="7" t="str">
        <f>HYPERLINK("https://twitter.com/polpitart","@polpitart")</f>
        <v>@polpitart</v>
      </c>
      <c r="C1282" s="8" t="s">
        <v>6268</v>
      </c>
      <c r="D1282" s="9" t="s">
        <v>6269</v>
      </c>
      <c r="E1282" s="10" t="str">
        <f>HYPERLINK("https://twitter.com/polpitart/status/1065232267952488448","1065232267952488448")</f>
        <v>1065232267952488448</v>
      </c>
      <c r="F1282" s="12"/>
      <c r="G1282" s="12"/>
      <c r="H1282" s="12"/>
      <c r="I1282" s="13">
        <v>0</v>
      </c>
      <c r="J1282" s="13">
        <v>0</v>
      </c>
      <c r="K1282" s="14" t="str">
        <f t="shared" si="264"/>
        <v>Twitter Web Client</v>
      </c>
      <c r="L1282" s="13">
        <v>9798</v>
      </c>
      <c r="M1282" s="13">
        <v>7336</v>
      </c>
      <c r="N1282" s="13">
        <v>26</v>
      </c>
      <c r="O1282" s="15"/>
      <c r="P1282" s="6">
        <v>40794.958611111113</v>
      </c>
      <c r="Q1282" s="16" t="s">
        <v>6270</v>
      </c>
      <c r="R1282" s="17" t="s">
        <v>6271</v>
      </c>
      <c r="S1282" s="12"/>
      <c r="T1282" s="12"/>
      <c r="U1282" s="10" t="str">
        <f>HYPERLINK("https://pbs.twimg.com/profile_images/1806383580/andy3.jpg","View")</f>
        <v>View</v>
      </c>
    </row>
    <row r="1283" spans="1:21" ht="40.799999999999997">
      <c r="A1283" s="6">
        <v>43425.59412037037</v>
      </c>
      <c r="B1283" s="7" t="str">
        <f>HYPERLINK("https://twitter.com/AfrikaWinslet","@AfrikaWinslet")</f>
        <v>@AfrikaWinslet</v>
      </c>
      <c r="C1283" s="8" t="s">
        <v>3156</v>
      </c>
      <c r="D1283" s="9" t="s">
        <v>3157</v>
      </c>
      <c r="E1283" s="10" t="str">
        <f>HYPERLINK("https://twitter.com/AfrikaWinslet/status/1065232245018017793","1065232245018017793")</f>
        <v>1065232245018017793</v>
      </c>
      <c r="F1283" s="16" t="s">
        <v>3158</v>
      </c>
      <c r="G1283" s="12"/>
      <c r="H1283" s="12"/>
      <c r="I1283" s="13">
        <v>0</v>
      </c>
      <c r="J1283" s="13">
        <v>0</v>
      </c>
      <c r="K1283" s="14" t="str">
        <f t="shared" ref="K1283:K1284" si="265">HYPERLINK("http://twitter.com/download/android","Twitter for Android")</f>
        <v>Twitter for Android</v>
      </c>
      <c r="L1283" s="13">
        <v>1043</v>
      </c>
      <c r="M1283" s="13">
        <v>763</v>
      </c>
      <c r="N1283" s="13">
        <v>110</v>
      </c>
      <c r="O1283" s="15"/>
      <c r="P1283" s="6">
        <v>40002.786111111112</v>
      </c>
      <c r="Q1283" s="16" t="s">
        <v>2966</v>
      </c>
      <c r="R1283" s="17" t="s">
        <v>3161</v>
      </c>
      <c r="S1283" s="11" t="s">
        <v>3162</v>
      </c>
      <c r="T1283" s="12"/>
      <c r="U1283" s="10" t="str">
        <f>HYPERLINK("https://pbs.twimg.com/profile_images/378800000274266881/905037e256c8f459c075e7b082c241a1.jpeg","View")</f>
        <v>View</v>
      </c>
    </row>
    <row r="1284" spans="1:21" ht="20.399999999999999">
      <c r="A1284" s="6">
        <v>43425.593877314815</v>
      </c>
      <c r="B1284" s="7" t="str">
        <f>HYPERLINK("https://twitter.com/brivas_58","@brivas_58")</f>
        <v>@brivas_58</v>
      </c>
      <c r="C1284" s="8" t="s">
        <v>6272</v>
      </c>
      <c r="D1284" s="9" t="s">
        <v>1697</v>
      </c>
      <c r="E1284" s="10" t="str">
        <f>HYPERLINK("https://twitter.com/brivas_58/status/1065232154626596864","1065232154626596864")</f>
        <v>1065232154626596864</v>
      </c>
      <c r="F1284" s="11" t="s">
        <v>1700</v>
      </c>
      <c r="G1284" s="12"/>
      <c r="H1284" s="12"/>
      <c r="I1284" s="13">
        <v>0</v>
      </c>
      <c r="J1284" s="13">
        <v>0</v>
      </c>
      <c r="K1284" s="14" t="str">
        <f t="shared" si="265"/>
        <v>Twitter for Android</v>
      </c>
      <c r="L1284" s="13">
        <v>341</v>
      </c>
      <c r="M1284" s="13">
        <v>558</v>
      </c>
      <c r="N1284" s="13">
        <v>3</v>
      </c>
      <c r="O1284" s="15"/>
      <c r="P1284" s="6">
        <v>40594.494432870371</v>
      </c>
      <c r="Q1284" s="12"/>
      <c r="R1284" s="17" t="s">
        <v>6273</v>
      </c>
      <c r="S1284" s="12"/>
      <c r="T1284" s="12"/>
      <c r="U1284" s="10" t="str">
        <f>HYPERLINK("https://pbs.twimg.com/profile_images/378800000629958557/abefcaaf567706459c758d2cf7e44d1f.jpeg","View")</f>
        <v>View</v>
      </c>
    </row>
    <row r="1285" spans="1:21" ht="20.399999999999999">
      <c r="A1285" s="6">
        <v>43425.593726851846</v>
      </c>
      <c r="B1285" s="7" t="str">
        <f>HYPERLINK("https://twitter.com/CAMARALHOMBRO2","@CAMARALHOMBRO2")</f>
        <v>@CAMARALHOMBRO2</v>
      </c>
      <c r="C1285" s="8" t="s">
        <v>1039</v>
      </c>
      <c r="D1285" s="9" t="s">
        <v>6274</v>
      </c>
      <c r="E1285" s="10" t="str">
        <f>HYPERLINK("https://twitter.com/CAMARALHOMBRO2/status/1065232100452913153","1065232100452913153")</f>
        <v>1065232100452913153</v>
      </c>
      <c r="F1285" s="11" t="s">
        <v>4764</v>
      </c>
      <c r="G1285" s="12"/>
      <c r="H1285" s="12"/>
      <c r="I1285" s="13">
        <v>0</v>
      </c>
      <c r="J1285" s="13">
        <v>0</v>
      </c>
      <c r="K1285" s="14" t="str">
        <f>HYPERLINK("http://twitter.com","Twitter Web Client")</f>
        <v>Twitter Web Client</v>
      </c>
      <c r="L1285" s="13">
        <v>4</v>
      </c>
      <c r="M1285" s="13">
        <v>46</v>
      </c>
      <c r="N1285" s="13">
        <v>0</v>
      </c>
      <c r="O1285" s="15"/>
      <c r="P1285" s="6">
        <v>42959.741284722222</v>
      </c>
      <c r="Q1285" s="16" t="s">
        <v>1043</v>
      </c>
      <c r="R1285" s="17" t="s">
        <v>1044</v>
      </c>
      <c r="S1285" s="12"/>
      <c r="T1285" s="12"/>
      <c r="U1285" s="10" t="str">
        <f>HYPERLINK("https://pbs.twimg.com/profile_images/961947978054463491/k2TEMgQQ.jpg","View")</f>
        <v>View</v>
      </c>
    </row>
    <row r="1286" spans="1:21" ht="81.599999999999994">
      <c r="A1286" s="6">
        <v>43425.593611111108</v>
      </c>
      <c r="B1286" s="7" t="str">
        <f>HYPERLINK("https://twitter.com/e13sirio","@e13sirio")</f>
        <v>@e13sirio</v>
      </c>
      <c r="C1286" s="8" t="s">
        <v>3166</v>
      </c>
      <c r="D1286" s="9" t="s">
        <v>3167</v>
      </c>
      <c r="E1286" s="10" t="str">
        <f>HYPERLINK("https://twitter.com/e13sirio/status/1065232057834631175","1065232057834631175")</f>
        <v>1065232057834631175</v>
      </c>
      <c r="F1286" s="11" t="s">
        <v>2066</v>
      </c>
      <c r="G1286" s="11" t="s">
        <v>2067</v>
      </c>
      <c r="H1286" s="12"/>
      <c r="I1286" s="13">
        <v>0</v>
      </c>
      <c r="J1286" s="13">
        <v>0</v>
      </c>
      <c r="K1286" s="14" t="str">
        <f>HYPERLINK("http://twitter.com/download/android","Twitter for Android")</f>
        <v>Twitter for Android</v>
      </c>
      <c r="L1286" s="13">
        <v>960</v>
      </c>
      <c r="M1286" s="13">
        <v>948</v>
      </c>
      <c r="N1286" s="13">
        <v>54</v>
      </c>
      <c r="O1286" s="15"/>
      <c r="P1286" s="6">
        <v>41104.722083333334</v>
      </c>
      <c r="Q1286" s="16" t="s">
        <v>3169</v>
      </c>
      <c r="R1286" s="17" t="s">
        <v>3170</v>
      </c>
      <c r="S1286" s="12"/>
      <c r="T1286" s="12"/>
      <c r="U1286" s="10" t="str">
        <f>HYPERLINK("https://pbs.twimg.com/profile_images/620317326819360768/pRTZcbbB.jpg","View")</f>
        <v>View</v>
      </c>
    </row>
    <row r="1287" spans="1:21" ht="30.6">
      <c r="A1287" s="6">
        <v>43425.59207175926</v>
      </c>
      <c r="B1287" s="7" t="str">
        <f>HYPERLINK("https://twitter.com/_tomalacalle","@_tomalacalle")</f>
        <v>@_tomalacalle</v>
      </c>
      <c r="C1287" s="8" t="s">
        <v>6275</v>
      </c>
      <c r="D1287" s="9" t="s">
        <v>6276</v>
      </c>
      <c r="E1287" s="10" t="str">
        <f>HYPERLINK("https://twitter.com/_tomalacalle/status/1065231499484676096","1065231499484676096")</f>
        <v>1065231499484676096</v>
      </c>
      <c r="F1287" s="11" t="s">
        <v>1700</v>
      </c>
      <c r="G1287" s="12"/>
      <c r="H1287" s="12"/>
      <c r="I1287" s="13">
        <v>0</v>
      </c>
      <c r="J1287" s="13">
        <v>1</v>
      </c>
      <c r="K1287" s="14" t="str">
        <f>HYPERLINK("http://twitter.com","Twitter Web Client")</f>
        <v>Twitter Web Client</v>
      </c>
      <c r="L1287" s="13">
        <v>6184</v>
      </c>
      <c r="M1287" s="13">
        <v>4661</v>
      </c>
      <c r="N1287" s="13">
        <v>26</v>
      </c>
      <c r="O1287" s="15"/>
      <c r="P1287" s="6">
        <v>41656.4221412037</v>
      </c>
      <c r="Q1287" s="16" t="s">
        <v>6277</v>
      </c>
      <c r="R1287" s="17" t="s">
        <v>6278</v>
      </c>
      <c r="S1287" s="12"/>
      <c r="T1287" s="12"/>
      <c r="U1287" s="10" t="str">
        <f>HYPERLINK("https://pbs.twimg.com/profile_images/979631218642874368/ScvTTMCt.jpg","View")</f>
        <v>View</v>
      </c>
    </row>
    <row r="1288" spans="1:21" ht="61.2">
      <c r="A1288" s="6">
        <v>43425.592002314814</v>
      </c>
      <c r="B1288" s="7" t="str">
        <f>HYPERLINK("https://twitter.com/CiudadanosCs","@CiudadanosCs")</f>
        <v>@CiudadanosCs</v>
      </c>
      <c r="C1288" s="8" t="s">
        <v>196</v>
      </c>
      <c r="D1288" s="9" t="s">
        <v>3171</v>
      </c>
      <c r="E1288" s="10" t="str">
        <f>HYPERLINK("https://twitter.com/CiudadanosCs/status/1065231475992395777","1065231475992395777")</f>
        <v>1065231475992395777</v>
      </c>
      <c r="F1288" s="12"/>
      <c r="G1288" s="11" t="s">
        <v>3174</v>
      </c>
      <c r="H1288" s="12"/>
      <c r="I1288" s="13">
        <v>53</v>
      </c>
      <c r="J1288" s="13">
        <v>58</v>
      </c>
      <c r="K1288" s="14" t="str">
        <f>HYPERLINK("https://studio.twitter.com","Media Studio")</f>
        <v>Media Studio</v>
      </c>
      <c r="L1288" s="13">
        <v>486503</v>
      </c>
      <c r="M1288" s="13">
        <v>93653</v>
      </c>
      <c r="N1288" s="13">
        <v>3318</v>
      </c>
      <c r="O1288" s="18" t="s">
        <v>36</v>
      </c>
      <c r="P1288" s="6">
        <v>39828.753460648149</v>
      </c>
      <c r="Q1288" s="16" t="s">
        <v>37</v>
      </c>
      <c r="R1288" s="17" t="s">
        <v>202</v>
      </c>
      <c r="S1288" s="11" t="s">
        <v>203</v>
      </c>
      <c r="T1288" s="12"/>
      <c r="U1288" s="10" t="str">
        <f>HYPERLINK("https://pbs.twimg.com/profile_images/1053554096161075200/1z77_zBZ.jpg","View")</f>
        <v>View</v>
      </c>
    </row>
    <row r="1289" spans="1:21" ht="20.399999999999999">
      <c r="A1289" s="6">
        <v>43425.591122685189</v>
      </c>
      <c r="B1289" s="7" t="str">
        <f>HYPERLINK("https://twitter.com/DavidFr73160774","@DavidFr73160774")</f>
        <v>@DavidFr73160774</v>
      </c>
      <c r="C1289" s="8" t="s">
        <v>6279</v>
      </c>
      <c r="D1289" s="9" t="s">
        <v>6280</v>
      </c>
      <c r="E1289" s="10" t="str">
        <f>HYPERLINK("https://twitter.com/DavidFr73160774/status/1065231157887934464","1065231157887934464")</f>
        <v>1065231157887934464</v>
      </c>
      <c r="F1289" s="12"/>
      <c r="G1289" s="12"/>
      <c r="H1289" s="12"/>
      <c r="I1289" s="13">
        <v>0</v>
      </c>
      <c r="J1289" s="13">
        <v>0</v>
      </c>
      <c r="K1289" s="14" t="str">
        <f t="shared" ref="K1289:K1290" si="266">HYPERLINK("http://twitter.com/download/android","Twitter for Android")</f>
        <v>Twitter for Android</v>
      </c>
      <c r="L1289" s="13">
        <v>2</v>
      </c>
      <c r="M1289" s="13">
        <v>4</v>
      </c>
      <c r="N1289" s="13">
        <v>0</v>
      </c>
      <c r="O1289" s="15"/>
      <c r="P1289" s="6">
        <v>43414.024895833332</v>
      </c>
      <c r="Q1289" s="12"/>
      <c r="R1289" s="17" t="s">
        <v>6281</v>
      </c>
      <c r="S1289" s="12"/>
      <c r="T1289" s="12"/>
      <c r="U1289" s="10" t="str">
        <f>HYPERLINK("https://pbs.twimg.com/profile_images/1061177410043985920/B5YcGit-.jpg","View")</f>
        <v>View</v>
      </c>
    </row>
    <row r="1290" spans="1:21" ht="30.6">
      <c r="A1290" s="6">
        <v>43425.590671296297</v>
      </c>
      <c r="B1290" s="7" t="str">
        <f>HYPERLINK("https://twitter.com/seoane_pedro","@seoane_pedro")</f>
        <v>@seoane_pedro</v>
      </c>
      <c r="C1290" s="8" t="s">
        <v>6282</v>
      </c>
      <c r="D1290" s="9" t="s">
        <v>6283</v>
      </c>
      <c r="E1290" s="10" t="str">
        <f>HYPERLINK("https://twitter.com/seoane_pedro/status/1065230991332175873","1065230991332175873")</f>
        <v>1065230991332175873</v>
      </c>
      <c r="F1290" s="12"/>
      <c r="G1290" s="11" t="s">
        <v>6284</v>
      </c>
      <c r="H1290" s="12"/>
      <c r="I1290" s="13">
        <v>6</v>
      </c>
      <c r="J1290" s="13">
        <v>10</v>
      </c>
      <c r="K1290" s="14" t="str">
        <f t="shared" si="266"/>
        <v>Twitter for Android</v>
      </c>
      <c r="L1290" s="13">
        <v>1633</v>
      </c>
      <c r="M1290" s="13">
        <v>2117</v>
      </c>
      <c r="N1290" s="13">
        <v>8</v>
      </c>
      <c r="O1290" s="15"/>
      <c r="P1290" s="6">
        <v>42858.659652777773</v>
      </c>
      <c r="Q1290" s="16" t="s">
        <v>6285</v>
      </c>
      <c r="R1290" s="17" t="s">
        <v>6286</v>
      </c>
      <c r="S1290" s="12"/>
      <c r="T1290" s="12"/>
      <c r="U1290" s="10" t="str">
        <f>HYPERLINK("https://pbs.twimg.com/profile_images/1057668767877074945/vhouCDon.jpg","View")</f>
        <v>View</v>
      </c>
    </row>
    <row r="1291" spans="1:21" ht="20.399999999999999">
      <c r="A1291" s="6">
        <v>43425.590381944443</v>
      </c>
      <c r="B1291" s="7" t="str">
        <f>HYPERLINK("https://twitter.com/Marganova","@Marganova")</f>
        <v>@Marganova</v>
      </c>
      <c r="C1291" s="8" t="s">
        <v>6287</v>
      </c>
      <c r="D1291" s="9" t="s">
        <v>6288</v>
      </c>
      <c r="E1291" s="10" t="str">
        <f>HYPERLINK("https://twitter.com/Marganova/status/1065230889486028801","1065230889486028801")</f>
        <v>1065230889486028801</v>
      </c>
      <c r="F1291" s="11" t="s">
        <v>1700</v>
      </c>
      <c r="G1291" s="12"/>
      <c r="H1291" s="12"/>
      <c r="I1291" s="13">
        <v>0</v>
      </c>
      <c r="J1291" s="13">
        <v>0</v>
      </c>
      <c r="K1291" s="14" t="str">
        <f>HYPERLINK("http://www.facebook.com/twitter","Facebook")</f>
        <v>Facebook</v>
      </c>
      <c r="L1291" s="13">
        <v>230</v>
      </c>
      <c r="M1291" s="13">
        <v>584</v>
      </c>
      <c r="N1291" s="13">
        <v>2</v>
      </c>
      <c r="O1291" s="15"/>
      <c r="P1291" s="6">
        <v>39998.519537037035</v>
      </c>
      <c r="Q1291" s="16" t="s">
        <v>6289</v>
      </c>
      <c r="R1291" s="17" t="s">
        <v>6290</v>
      </c>
      <c r="S1291" s="12"/>
      <c r="T1291" s="12"/>
      <c r="U1291" s="10" t="str">
        <f>HYPERLINK("https://pbs.twimg.com/profile_images/1014955306055557120/BQ_4sPcc.jpg","View")</f>
        <v>View</v>
      </c>
    </row>
    <row r="1292" spans="1:21" ht="20.399999999999999">
      <c r="A1292" s="6">
        <v>43425.590138888889</v>
      </c>
      <c r="B1292" s="7" t="str">
        <f>HYPERLINK("https://twitter.com/AntGainos","@AntGainos")</f>
        <v>@AntGainos</v>
      </c>
      <c r="C1292" s="8" t="s">
        <v>795</v>
      </c>
      <c r="D1292" s="9" t="s">
        <v>5300</v>
      </c>
      <c r="E1292" s="10" t="str">
        <f>HYPERLINK("https://twitter.com/AntGainos/status/1065230800579411969","1065230800579411969")</f>
        <v>1065230800579411969</v>
      </c>
      <c r="F1292" s="11" t="s">
        <v>557</v>
      </c>
      <c r="G1292" s="12"/>
      <c r="H1292" s="12"/>
      <c r="I1292" s="13">
        <v>0</v>
      </c>
      <c r="J1292" s="13">
        <v>0</v>
      </c>
      <c r="K1292" s="14" t="str">
        <f>HYPERLINK("http://twitter.com","Twitter Web Client")</f>
        <v>Twitter Web Client</v>
      </c>
      <c r="L1292" s="13">
        <v>547</v>
      </c>
      <c r="M1292" s="13">
        <v>553</v>
      </c>
      <c r="N1292" s="13">
        <v>9</v>
      </c>
      <c r="O1292" s="15"/>
      <c r="P1292" s="6">
        <v>40643.846689814818</v>
      </c>
      <c r="Q1292" s="16" t="s">
        <v>1345</v>
      </c>
      <c r="R1292" s="19"/>
      <c r="S1292" s="12"/>
      <c r="T1292" s="12"/>
      <c r="U1292" s="10" t="str">
        <f>HYPERLINK("https://pbs.twimg.com/profile_images/1034402549011542016/iBP_Fz3r.jpg","View")</f>
        <v>View</v>
      </c>
    </row>
    <row r="1293" spans="1:21" ht="51">
      <c r="A1293" s="6">
        <v>43425.589895833335</v>
      </c>
      <c r="B1293" s="7" t="str">
        <f>HYPERLINK("https://twitter.com/CiudadanosCs","@CiudadanosCs")</f>
        <v>@CiudadanosCs</v>
      </c>
      <c r="C1293" s="8" t="s">
        <v>196</v>
      </c>
      <c r="D1293" s="9" t="s">
        <v>3175</v>
      </c>
      <c r="E1293" s="10" t="str">
        <f>HYPERLINK("https://twitter.com/CiudadanosCs/status/1065230711211401219","1065230711211401219")</f>
        <v>1065230711211401219</v>
      </c>
      <c r="F1293" s="12"/>
      <c r="G1293" s="11" t="s">
        <v>3176</v>
      </c>
      <c r="H1293" s="12"/>
      <c r="I1293" s="13">
        <v>41</v>
      </c>
      <c r="J1293" s="13">
        <v>48</v>
      </c>
      <c r="K1293" s="14" t="str">
        <f>HYPERLINK("https://studio.twitter.com","Media Studio")</f>
        <v>Media Studio</v>
      </c>
      <c r="L1293" s="13">
        <v>486503</v>
      </c>
      <c r="M1293" s="13">
        <v>93653</v>
      </c>
      <c r="N1293" s="13">
        <v>3318</v>
      </c>
      <c r="O1293" s="18" t="s">
        <v>36</v>
      </c>
      <c r="P1293" s="6">
        <v>39828.753460648149</v>
      </c>
      <c r="Q1293" s="16" t="s">
        <v>37</v>
      </c>
      <c r="R1293" s="17" t="s">
        <v>202</v>
      </c>
      <c r="S1293" s="11" t="s">
        <v>203</v>
      </c>
      <c r="T1293" s="12"/>
      <c r="U1293" s="10" t="str">
        <f>HYPERLINK("https://pbs.twimg.com/profile_images/1053554096161075200/1z77_zBZ.jpg","View")</f>
        <v>View</v>
      </c>
    </row>
    <row r="1294" spans="1:21" ht="40.799999999999997">
      <c r="A1294" s="6">
        <v>43425.589282407411</v>
      </c>
      <c r="B1294" s="7" t="str">
        <f>HYPERLINK("https://twitter.com/Miooonso","@Miooonso")</f>
        <v>@Miooonso</v>
      </c>
      <c r="C1294" s="8" t="s">
        <v>6291</v>
      </c>
      <c r="D1294" s="9" t="s">
        <v>6292</v>
      </c>
      <c r="E1294" s="10" t="str">
        <f>HYPERLINK("https://twitter.com/Miooonso/status/1065230491228487680","1065230491228487680")</f>
        <v>1065230491228487680</v>
      </c>
      <c r="F1294" s="12"/>
      <c r="G1294" s="12"/>
      <c r="H1294" s="12"/>
      <c r="I1294" s="13">
        <v>0</v>
      </c>
      <c r="J1294" s="13">
        <v>0</v>
      </c>
      <c r="K1294" s="14" t="str">
        <f>HYPERLINK("http://twitter.com/download/android","Twitter for Android")</f>
        <v>Twitter for Android</v>
      </c>
      <c r="L1294" s="13">
        <v>563</v>
      </c>
      <c r="M1294" s="13">
        <v>663</v>
      </c>
      <c r="N1294" s="13">
        <v>1</v>
      </c>
      <c r="O1294" s="15"/>
      <c r="P1294" s="6">
        <v>43088.975057870368</v>
      </c>
      <c r="Q1294" s="12"/>
      <c r="R1294" s="17" t="s">
        <v>6293</v>
      </c>
      <c r="S1294" s="12"/>
      <c r="T1294" s="12"/>
      <c r="U1294" s="10" t="str">
        <f>HYPERLINK("https://pbs.twimg.com/profile_images/980474925717819393/zS8Sat0V.jpg","View")</f>
        <v>View</v>
      </c>
    </row>
    <row r="1295" spans="1:21" ht="51">
      <c r="A1295" s="6">
        <v>43425.589062500003</v>
      </c>
      <c r="B1295" s="7" t="str">
        <f>HYPERLINK("https://twitter.com/Albert_Rivera","@Albert_Rivera")</f>
        <v>@Albert_Rivera</v>
      </c>
      <c r="C1295" s="8" t="s">
        <v>389</v>
      </c>
      <c r="D1295" s="9" t="s">
        <v>6294</v>
      </c>
      <c r="E1295" s="10" t="str">
        <f>HYPERLINK("https://twitter.com/Albert_Rivera/status/1065230411448688640","1065230411448688640")</f>
        <v>1065230411448688640</v>
      </c>
      <c r="F1295" s="12"/>
      <c r="G1295" s="11" t="s">
        <v>2067</v>
      </c>
      <c r="H1295" s="12"/>
      <c r="I1295" s="13">
        <v>1045</v>
      </c>
      <c r="J1295" s="13">
        <v>1835</v>
      </c>
      <c r="K1295" s="14" t="str">
        <f>HYPERLINK("http://twitter.com/download/iphone","Twitter for iPhone")</f>
        <v>Twitter for iPhone</v>
      </c>
      <c r="L1295" s="13">
        <v>1071530</v>
      </c>
      <c r="M1295" s="13">
        <v>2545</v>
      </c>
      <c r="N1295" s="13">
        <v>5104</v>
      </c>
      <c r="O1295" s="18" t="s">
        <v>36</v>
      </c>
      <c r="P1295" s="6">
        <v>40205.748171296298</v>
      </c>
      <c r="Q1295" s="16" t="s">
        <v>37</v>
      </c>
      <c r="R1295" s="17" t="s">
        <v>393</v>
      </c>
      <c r="S1295" s="11" t="s">
        <v>394</v>
      </c>
      <c r="T1295" s="12"/>
      <c r="U1295" s="10" t="str">
        <f>HYPERLINK("https://pbs.twimg.com/profile_images/1030708936779988993/RncDM4EZ.jpg","View")</f>
        <v>View</v>
      </c>
    </row>
    <row r="1296" spans="1:21" ht="51">
      <c r="A1296" s="6">
        <v>43425.588854166665</v>
      </c>
      <c r="B1296" s="7" t="str">
        <f>HYPERLINK("https://twitter.com/CiudadanosCs","@CiudadanosCs")</f>
        <v>@CiudadanosCs</v>
      </c>
      <c r="C1296" s="8" t="s">
        <v>196</v>
      </c>
      <c r="D1296" s="9" t="s">
        <v>3179</v>
      </c>
      <c r="E1296" s="10" t="str">
        <f>HYPERLINK("https://twitter.com/CiudadanosCs/status/1065230334571225088","1065230334571225088")</f>
        <v>1065230334571225088</v>
      </c>
      <c r="F1296" s="12"/>
      <c r="G1296" s="11" t="s">
        <v>3180</v>
      </c>
      <c r="H1296" s="12"/>
      <c r="I1296" s="13">
        <v>31</v>
      </c>
      <c r="J1296" s="13">
        <v>37</v>
      </c>
      <c r="K1296" s="14" t="str">
        <f>HYPERLINK("https://studio.twitter.com","Media Studio")</f>
        <v>Media Studio</v>
      </c>
      <c r="L1296" s="13">
        <v>486503</v>
      </c>
      <c r="M1296" s="13">
        <v>93653</v>
      </c>
      <c r="N1296" s="13">
        <v>3318</v>
      </c>
      <c r="O1296" s="18" t="s">
        <v>36</v>
      </c>
      <c r="P1296" s="6">
        <v>39828.753460648149</v>
      </c>
      <c r="Q1296" s="16" t="s">
        <v>37</v>
      </c>
      <c r="R1296" s="17" t="s">
        <v>202</v>
      </c>
      <c r="S1296" s="11" t="s">
        <v>203</v>
      </c>
      <c r="T1296" s="12"/>
      <c r="U1296" s="10" t="str">
        <f>HYPERLINK("https://pbs.twimg.com/profile_images/1053554096161075200/1z77_zBZ.jpg","View")</f>
        <v>View</v>
      </c>
    </row>
    <row r="1297" spans="1:21" ht="40.799999999999997">
      <c r="A1297" s="6">
        <v>43425.588506944448</v>
      </c>
      <c r="B1297" s="7" t="str">
        <f>HYPERLINK("https://twitter.com/Laura_Fdz_Diaz","@Laura_Fdz_Diaz")</f>
        <v>@Laura_Fdz_Diaz</v>
      </c>
      <c r="C1297" s="8" t="s">
        <v>6295</v>
      </c>
      <c r="D1297" s="9" t="s">
        <v>6296</v>
      </c>
      <c r="E1297" s="10" t="str">
        <f>HYPERLINK("https://twitter.com/Laura_Fdz_Diaz/status/1065230207110561792","1065230207110561792")</f>
        <v>1065230207110561792</v>
      </c>
      <c r="F1297" s="12"/>
      <c r="G1297" s="12"/>
      <c r="H1297" s="12"/>
      <c r="I1297" s="13">
        <v>2</v>
      </c>
      <c r="J1297" s="13">
        <v>0</v>
      </c>
      <c r="K1297" s="14" t="str">
        <f>HYPERLINK("http://twitter.com/download/iphone","Twitter for iPhone")</f>
        <v>Twitter for iPhone</v>
      </c>
      <c r="L1297" s="13">
        <v>229</v>
      </c>
      <c r="M1297" s="13">
        <v>840</v>
      </c>
      <c r="N1297" s="13">
        <v>3</v>
      </c>
      <c r="O1297" s="15"/>
      <c r="P1297" s="6">
        <v>42329.506956018522</v>
      </c>
      <c r="Q1297" s="12"/>
      <c r="R1297" s="17" t="s">
        <v>6297</v>
      </c>
      <c r="S1297" s="11" t="s">
        <v>6298</v>
      </c>
      <c r="T1297" s="12"/>
      <c r="U1297" s="10" t="str">
        <f>HYPERLINK("https://pbs.twimg.com/profile_images/1040612314758766592/H8IObwRT.jpg","View")</f>
        <v>View</v>
      </c>
    </row>
    <row r="1298" spans="1:21" ht="30.6">
      <c r="A1298" s="6">
        <v>43425.587673611109</v>
      </c>
      <c r="B1298" s="7" t="str">
        <f>HYPERLINK("https://twitter.com/MiguelPujada","@MiguelPujada")</f>
        <v>@MiguelPujada</v>
      </c>
      <c r="C1298" s="8" t="s">
        <v>6299</v>
      </c>
      <c r="D1298" s="9" t="s">
        <v>6300</v>
      </c>
      <c r="E1298" s="10" t="str">
        <f>HYPERLINK("https://twitter.com/MiguelPujada/status/1065229905741443074","1065229905741443074")</f>
        <v>1065229905741443074</v>
      </c>
      <c r="F1298" s="12"/>
      <c r="G1298" s="12"/>
      <c r="H1298" s="12"/>
      <c r="I1298" s="13">
        <v>0</v>
      </c>
      <c r="J1298" s="13">
        <v>1</v>
      </c>
      <c r="K1298" s="14" t="str">
        <f>HYPERLINK("http://twitter.com/download/android","Twitter for Android")</f>
        <v>Twitter for Android</v>
      </c>
      <c r="L1298" s="13">
        <v>156</v>
      </c>
      <c r="M1298" s="13">
        <v>368</v>
      </c>
      <c r="N1298" s="13">
        <v>3</v>
      </c>
      <c r="O1298" s="15"/>
      <c r="P1298" s="6">
        <v>41014.853449074071</v>
      </c>
      <c r="Q1298" s="12"/>
      <c r="R1298" s="19"/>
      <c r="S1298" s="12"/>
      <c r="T1298" s="12"/>
      <c r="U1298" s="10" t="str">
        <f>HYPERLINK("https://pbs.twimg.com/profile_images/775048557049118720/b5RY59ld.jpg","View")</f>
        <v>View</v>
      </c>
    </row>
    <row r="1299" spans="1:21" ht="40.799999999999997">
      <c r="A1299" s="6">
        <v>43425.587650462963</v>
      </c>
      <c r="B1299" s="7" t="str">
        <f>HYPERLINK("https://twitter.com/Miguel_H_C","@Miguel_H_C")</f>
        <v>@Miguel_H_C</v>
      </c>
      <c r="C1299" s="8" t="s">
        <v>347</v>
      </c>
      <c r="D1299" s="9" t="s">
        <v>6301</v>
      </c>
      <c r="E1299" s="10" t="str">
        <f>HYPERLINK("https://twitter.com/Miguel_H_C/status/1065229897721880577","1065229897721880577")</f>
        <v>1065229897721880577</v>
      </c>
      <c r="F1299" s="11" t="s">
        <v>557</v>
      </c>
      <c r="G1299" s="12"/>
      <c r="H1299" s="12"/>
      <c r="I1299" s="13">
        <v>0</v>
      </c>
      <c r="J1299" s="13">
        <v>1</v>
      </c>
      <c r="K1299" s="14" t="str">
        <f>HYPERLINK("http://twitter.com","Twitter Web Client")</f>
        <v>Twitter Web Client</v>
      </c>
      <c r="L1299" s="13">
        <v>826</v>
      </c>
      <c r="M1299" s="13">
        <v>349</v>
      </c>
      <c r="N1299" s="13">
        <v>8</v>
      </c>
      <c r="O1299" s="15"/>
      <c r="P1299" s="6">
        <v>40816.839016203703</v>
      </c>
      <c r="Q1299" s="16" t="s">
        <v>351</v>
      </c>
      <c r="R1299" s="19"/>
      <c r="S1299" s="12"/>
      <c r="T1299" s="12"/>
      <c r="U1299" s="10" t="str">
        <f>HYPERLINK("https://pbs.twimg.com/profile_images/997011182736302081/6PYtWK2Y.jpg","View")</f>
        <v>View</v>
      </c>
    </row>
    <row r="1300" spans="1:21" ht="51">
      <c r="A1300" s="6">
        <v>43425.587407407409</v>
      </c>
      <c r="B1300" s="7" t="str">
        <f>HYPERLINK("https://twitter.com/CiudadanosCs","@CiudadanosCs")</f>
        <v>@CiudadanosCs</v>
      </c>
      <c r="C1300" s="8" t="s">
        <v>196</v>
      </c>
      <c r="D1300" s="9" t="s">
        <v>3181</v>
      </c>
      <c r="E1300" s="10" t="str">
        <f>HYPERLINK("https://twitter.com/CiudadanosCs/status/1065229809322725377","1065229809322725377")</f>
        <v>1065229809322725377</v>
      </c>
      <c r="F1300" s="12"/>
      <c r="G1300" s="11" t="s">
        <v>3184</v>
      </c>
      <c r="H1300" s="12"/>
      <c r="I1300" s="13">
        <v>145</v>
      </c>
      <c r="J1300" s="13">
        <v>268</v>
      </c>
      <c r="K1300" s="14" t="str">
        <f>HYPERLINK("https://studio.twitter.com","Media Studio")</f>
        <v>Media Studio</v>
      </c>
      <c r="L1300" s="13">
        <v>486503</v>
      </c>
      <c r="M1300" s="13">
        <v>93653</v>
      </c>
      <c r="N1300" s="13">
        <v>3318</v>
      </c>
      <c r="O1300" s="18" t="s">
        <v>36</v>
      </c>
      <c r="P1300" s="6">
        <v>39828.753460648149</v>
      </c>
      <c r="Q1300" s="16" t="s">
        <v>37</v>
      </c>
      <c r="R1300" s="17" t="s">
        <v>202</v>
      </c>
      <c r="S1300" s="11" t="s">
        <v>203</v>
      </c>
      <c r="T1300" s="12"/>
      <c r="U1300" s="10" t="str">
        <f>HYPERLINK("https://pbs.twimg.com/profile_images/1053554096161075200/1z77_zBZ.jpg","View")</f>
        <v>View</v>
      </c>
    </row>
    <row r="1301" spans="1:21" ht="30.6">
      <c r="A1301" s="6">
        <v>43425.587337962963</v>
      </c>
      <c r="B1301" s="7" t="str">
        <f>HYPERLINK("https://twitter.com/Revistahuerta12","@Revistahuerta12")</f>
        <v>@Revistahuerta12</v>
      </c>
      <c r="C1301" s="8" t="s">
        <v>3186</v>
      </c>
      <c r="D1301" s="9" t="s">
        <v>3187</v>
      </c>
      <c r="E1301" s="10" t="str">
        <f>HYPERLINK("https://twitter.com/Revistahuerta12/status/1065229784471482368","1065229784471482368")</f>
        <v>1065229784471482368</v>
      </c>
      <c r="F1301" s="12"/>
      <c r="G1301" s="12"/>
      <c r="H1301" s="12"/>
      <c r="I1301" s="13">
        <v>2</v>
      </c>
      <c r="J1301" s="13">
        <v>1</v>
      </c>
      <c r="K1301" s="14" t="str">
        <f>HYPERLINK("http://twitter.com/download/android","Twitter for Android")</f>
        <v>Twitter for Android</v>
      </c>
      <c r="L1301" s="13">
        <v>48</v>
      </c>
      <c r="M1301" s="13">
        <v>292</v>
      </c>
      <c r="N1301" s="13">
        <v>1</v>
      </c>
      <c r="O1301" s="15"/>
      <c r="P1301" s="6">
        <v>43096.793981481482</v>
      </c>
      <c r="Q1301" s="12"/>
      <c r="R1301" s="17" t="s">
        <v>3190</v>
      </c>
      <c r="S1301" s="12"/>
      <c r="T1301" s="12"/>
      <c r="U1301" s="10" t="str">
        <f>HYPERLINK("https://pbs.twimg.com/profile_images/968930960745037827/kH5cZAAW.jpg","View")</f>
        <v>View</v>
      </c>
    </row>
    <row r="1302" spans="1:21" ht="40.799999999999997">
      <c r="A1302" s="6">
        <v>43425.587071759262</v>
      </c>
      <c r="B1302" s="7" t="str">
        <f>HYPERLINK("https://twitter.com/drafabianalemos","@drafabianalemos")</f>
        <v>@drafabianalemos</v>
      </c>
      <c r="C1302" s="8" t="s">
        <v>6302</v>
      </c>
      <c r="D1302" s="9" t="s">
        <v>1697</v>
      </c>
      <c r="E1302" s="10" t="str">
        <f>HYPERLINK("https://twitter.com/drafabianalemos/status/1065229689550196737","1065229689550196737")</f>
        <v>1065229689550196737</v>
      </c>
      <c r="F1302" s="11" t="s">
        <v>1700</v>
      </c>
      <c r="G1302" s="12"/>
      <c r="H1302" s="12"/>
      <c r="I1302" s="13">
        <v>0</v>
      </c>
      <c r="J1302" s="13">
        <v>0</v>
      </c>
      <c r="K1302" s="14" t="str">
        <f>HYPERLINK("http://twitter.com","Twitter Web Client")</f>
        <v>Twitter Web Client</v>
      </c>
      <c r="L1302" s="13">
        <v>676</v>
      </c>
      <c r="M1302" s="13">
        <v>587</v>
      </c>
      <c r="N1302" s="13">
        <v>8</v>
      </c>
      <c r="O1302" s="15"/>
      <c r="P1302" s="6">
        <v>40312.849525462967</v>
      </c>
      <c r="Q1302" s="16" t="s">
        <v>6303</v>
      </c>
      <c r="R1302" s="17" t="s">
        <v>6304</v>
      </c>
      <c r="S1302" s="11" t="s">
        <v>6305</v>
      </c>
      <c r="T1302" s="12"/>
      <c r="U1302" s="10" t="str">
        <f>HYPERLINK("https://pbs.twimg.com/profile_images/1039195573650374657/5IIqpYls.jpg","View")</f>
        <v>View</v>
      </c>
    </row>
    <row r="1303" spans="1:21" ht="13.2">
      <c r="A1303" s="6">
        <v>43425.586446759262</v>
      </c>
      <c r="B1303" s="7" t="str">
        <f>HYPERLINK("https://twitter.com/FanExpress","@FanExpress")</f>
        <v>@FanExpress</v>
      </c>
      <c r="C1303" s="8" t="s">
        <v>3193</v>
      </c>
      <c r="D1303" s="9" t="s">
        <v>3194</v>
      </c>
      <c r="E1303" s="10" t="str">
        <f>HYPERLINK("https://twitter.com/FanExpress/status/1065229461178761216","1065229461178761216")</f>
        <v>1065229461178761216</v>
      </c>
      <c r="F1303" s="12"/>
      <c r="G1303" s="12"/>
      <c r="H1303" s="12"/>
      <c r="I1303" s="13">
        <v>0</v>
      </c>
      <c r="J1303" s="13">
        <v>1</v>
      </c>
      <c r="K1303" s="14" t="str">
        <f>HYPERLINK("http://twitter.com/download/iphone","Twitter for iPhone")</f>
        <v>Twitter for iPhone</v>
      </c>
      <c r="L1303" s="13">
        <v>48</v>
      </c>
      <c r="M1303" s="13">
        <v>414</v>
      </c>
      <c r="N1303" s="13">
        <v>0</v>
      </c>
      <c r="O1303" s="15"/>
      <c r="P1303" s="6">
        <v>40831.400543981479</v>
      </c>
      <c r="Q1303" s="16" t="s">
        <v>3196</v>
      </c>
      <c r="R1303" s="17" t="s">
        <v>3197</v>
      </c>
      <c r="S1303" s="12"/>
      <c r="T1303" s="12"/>
      <c r="U1303" s="10" t="str">
        <f>HYPERLINK("https://pbs.twimg.com/profile_images/840320325300686849/cTAREAKK.jpg","View")</f>
        <v>View</v>
      </c>
    </row>
    <row r="1304" spans="1:21" ht="51">
      <c r="A1304" s="6">
        <v>43425.585462962961</v>
      </c>
      <c r="B1304" s="7" t="str">
        <f>HYPERLINK("https://twitter.com/Miguel_H_C","@Miguel_H_C")</f>
        <v>@Miguel_H_C</v>
      </c>
      <c r="C1304" s="8" t="s">
        <v>347</v>
      </c>
      <c r="D1304" s="9" t="s">
        <v>3199</v>
      </c>
      <c r="E1304" s="10" t="str">
        <f>HYPERLINK("https://twitter.com/Miguel_H_C/status/1065229106302857216","1065229106302857216")</f>
        <v>1065229106302857216</v>
      </c>
      <c r="F1304" s="12"/>
      <c r="G1304" s="12"/>
      <c r="H1304" s="12"/>
      <c r="I1304" s="13">
        <v>0</v>
      </c>
      <c r="J1304" s="13">
        <v>0</v>
      </c>
      <c r="K1304" s="14" t="str">
        <f>HYPERLINK("http://twitter.com","Twitter Web Client")</f>
        <v>Twitter Web Client</v>
      </c>
      <c r="L1304" s="13">
        <v>826</v>
      </c>
      <c r="M1304" s="13">
        <v>349</v>
      </c>
      <c r="N1304" s="13">
        <v>8</v>
      </c>
      <c r="O1304" s="15"/>
      <c r="P1304" s="6">
        <v>40816.839016203703</v>
      </c>
      <c r="Q1304" s="16" t="s">
        <v>351</v>
      </c>
      <c r="R1304" s="19"/>
      <c r="S1304" s="12"/>
      <c r="T1304" s="12"/>
      <c r="U1304" s="10" t="str">
        <f>HYPERLINK("https://pbs.twimg.com/profile_images/997011182736302081/6PYtWK2Y.jpg","View")</f>
        <v>View</v>
      </c>
    </row>
    <row r="1305" spans="1:21" ht="51">
      <c r="A1305" s="6">
        <v>43425.584803240738</v>
      </c>
      <c r="B1305" s="7" t="str">
        <f>HYPERLINK("https://twitter.com/msagra55","@msagra55")</f>
        <v>@msagra55</v>
      </c>
      <c r="C1305" s="8" t="s">
        <v>3201</v>
      </c>
      <c r="D1305" s="9" t="s">
        <v>3202</v>
      </c>
      <c r="E1305" s="10" t="str">
        <f>HYPERLINK("https://twitter.com/msagra55/status/1065228868787814400","1065228868787814400")</f>
        <v>1065228868787814400</v>
      </c>
      <c r="F1305" s="12"/>
      <c r="G1305" s="12"/>
      <c r="H1305" s="12"/>
      <c r="I1305" s="13">
        <v>6</v>
      </c>
      <c r="J1305" s="13">
        <v>7</v>
      </c>
      <c r="K1305" s="14" t="str">
        <f>HYPERLINK("http://twitter.com/download/android","Twitter for Android")</f>
        <v>Twitter for Android</v>
      </c>
      <c r="L1305" s="13">
        <v>381</v>
      </c>
      <c r="M1305" s="13">
        <v>551</v>
      </c>
      <c r="N1305" s="13">
        <v>4</v>
      </c>
      <c r="O1305" s="15"/>
      <c r="P1305" s="6">
        <v>41731.913321759261</v>
      </c>
      <c r="Q1305" s="12"/>
      <c r="R1305" s="17" t="s">
        <v>3203</v>
      </c>
      <c r="S1305" s="12"/>
      <c r="T1305" s="12"/>
      <c r="U1305" s="10" t="str">
        <f>HYPERLINK("https://pbs.twimg.com/profile_images/971863302006607872/0IvM9BF2.jpg","View")</f>
        <v>View</v>
      </c>
    </row>
    <row r="1306" spans="1:21" ht="40.799999999999997">
      <c r="A1306" s="6">
        <v>43425.584780092591</v>
      </c>
      <c r="B1306" s="7" t="str">
        <f>HYPERLINK("https://twitter.com/XarnegoSedicios","@XarnegoSedicios")</f>
        <v>@XarnegoSedicios</v>
      </c>
      <c r="C1306" s="8" t="s">
        <v>6306</v>
      </c>
      <c r="D1306" s="9" t="s">
        <v>6307</v>
      </c>
      <c r="E1306" s="10" t="str">
        <f>HYPERLINK("https://twitter.com/XarnegoSedicios/status/1065228857148678144","1065228857148678144")</f>
        <v>1065228857148678144</v>
      </c>
      <c r="F1306" s="12"/>
      <c r="G1306" s="12"/>
      <c r="H1306" s="12"/>
      <c r="I1306" s="13">
        <v>1398</v>
      </c>
      <c r="J1306" s="13">
        <v>3634</v>
      </c>
      <c r="K1306" s="14" t="str">
        <f>HYPERLINK("http://twitter.com/download/iphone","Twitter for iPhone")</f>
        <v>Twitter for iPhone</v>
      </c>
      <c r="L1306" s="13">
        <v>16937</v>
      </c>
      <c r="M1306" s="13">
        <v>933</v>
      </c>
      <c r="N1306" s="13">
        <v>64</v>
      </c>
      <c r="O1306" s="15"/>
      <c r="P1306" s="6">
        <v>42766.948298611111</v>
      </c>
      <c r="Q1306" s="16" t="s">
        <v>6308</v>
      </c>
      <c r="R1306" s="17" t="s">
        <v>6309</v>
      </c>
      <c r="S1306" s="12"/>
      <c r="T1306" s="12"/>
      <c r="U1306" s="10" t="str">
        <f>HYPERLINK("https://pbs.twimg.com/profile_images/1015691428436021248/3TCFT5td.jpg","View")</f>
        <v>View</v>
      </c>
    </row>
    <row r="1307" spans="1:21" ht="71.400000000000006">
      <c r="A1307" s="6">
        <v>43425.584756944445</v>
      </c>
      <c r="B1307" s="7" t="str">
        <f>HYPERLINK("https://twitter.com/Victor_Pelaz","@Victor_Pelaz")</f>
        <v>@Victor_Pelaz</v>
      </c>
      <c r="C1307" s="8" t="s">
        <v>3205</v>
      </c>
      <c r="D1307" s="9" t="s">
        <v>3206</v>
      </c>
      <c r="E1307" s="10" t="str">
        <f>HYPERLINK("https://twitter.com/Victor_Pelaz/status/1065228850676813824","1065228850676813824")</f>
        <v>1065228850676813824</v>
      </c>
      <c r="F1307" s="16" t="s">
        <v>2995</v>
      </c>
      <c r="G1307" s="12"/>
      <c r="H1307" s="12"/>
      <c r="I1307" s="13">
        <v>0</v>
      </c>
      <c r="J1307" s="13">
        <v>1</v>
      </c>
      <c r="K1307" s="14" t="str">
        <f>HYPERLINK("http://twitter.com/download/android","Twitter for Android")</f>
        <v>Twitter for Android</v>
      </c>
      <c r="L1307" s="13">
        <v>1679</v>
      </c>
      <c r="M1307" s="13">
        <v>772</v>
      </c>
      <c r="N1307" s="13">
        <v>40</v>
      </c>
      <c r="O1307" s="15"/>
      <c r="P1307" s="6">
        <v>40593.434745370367</v>
      </c>
      <c r="Q1307" s="16" t="s">
        <v>3207</v>
      </c>
      <c r="R1307" s="17" t="s">
        <v>3208</v>
      </c>
      <c r="S1307" s="11" t="s">
        <v>3209</v>
      </c>
      <c r="T1307" s="12"/>
      <c r="U1307" s="10" t="str">
        <f>HYPERLINK("https://pbs.twimg.com/profile_images/1037014610128367617/lkqZbMp6.jpg","View")</f>
        <v>View</v>
      </c>
    </row>
    <row r="1308" spans="1:21" ht="40.799999999999997">
      <c r="A1308" s="6">
        <v>43425.583530092597</v>
      </c>
      <c r="B1308" s="7" t="str">
        <f>HYPERLINK("https://twitter.com/Hora_Digital","@Hora_Digital")</f>
        <v>@Hora_Digital</v>
      </c>
      <c r="C1308" s="8" t="s">
        <v>3210</v>
      </c>
      <c r="D1308" s="9" t="s">
        <v>3212</v>
      </c>
      <c r="E1308" s="10" t="str">
        <f>HYPERLINK("https://twitter.com/Hora_Digital/status/1065228406470656000","1065228406470656000")</f>
        <v>1065228406470656000</v>
      </c>
      <c r="F1308" s="11" t="s">
        <v>3214</v>
      </c>
      <c r="G1308" s="12"/>
      <c r="H1308" s="12"/>
      <c r="I1308" s="13">
        <v>22</v>
      </c>
      <c r="J1308" s="13">
        <v>22</v>
      </c>
      <c r="K1308" s="14" t="str">
        <f>HYPERLINK("https://www.hootsuite.com","Hootsuite Inc.")</f>
        <v>Hootsuite Inc.</v>
      </c>
      <c r="L1308" s="13">
        <v>1185</v>
      </c>
      <c r="M1308" s="13">
        <v>699</v>
      </c>
      <c r="N1308" s="13">
        <v>11</v>
      </c>
      <c r="O1308" s="15"/>
      <c r="P1308" s="6">
        <v>43368.579155092593</v>
      </c>
      <c r="Q1308" s="12"/>
      <c r="R1308" s="17" t="s">
        <v>3217</v>
      </c>
      <c r="S1308" s="11" t="s">
        <v>3218</v>
      </c>
      <c r="T1308" s="12"/>
      <c r="U1308" s="10" t="str">
        <f>HYPERLINK("https://pbs.twimg.com/profile_images/1064472981265616896/aBiJQ8gu.jpg","View")</f>
        <v>View</v>
      </c>
    </row>
    <row r="1309" spans="1:21" ht="51">
      <c r="A1309" s="6">
        <v>43425.583402777775</v>
      </c>
      <c r="B1309" s="7" t="str">
        <f>HYPERLINK("https://twitter.com/SoyDonNadie","@SoyDonNadie")</f>
        <v>@SoyDonNadie</v>
      </c>
      <c r="C1309" s="8" t="s">
        <v>2641</v>
      </c>
      <c r="D1309" s="9" t="s">
        <v>6310</v>
      </c>
      <c r="E1309" s="10" t="str">
        <f>HYPERLINK("https://twitter.com/SoyDonNadie/status/1065228359410610176","1065228359410610176")</f>
        <v>1065228359410610176</v>
      </c>
      <c r="F1309" s="12"/>
      <c r="G1309" s="12"/>
      <c r="H1309" s="12"/>
      <c r="I1309" s="13">
        <v>0</v>
      </c>
      <c r="J1309" s="13">
        <v>1</v>
      </c>
      <c r="K1309" s="14" t="str">
        <f>HYPERLINK("http://www.facebook.com/twitter","Facebook")</f>
        <v>Facebook</v>
      </c>
      <c r="L1309" s="13">
        <v>929</v>
      </c>
      <c r="M1309" s="13">
        <v>2255</v>
      </c>
      <c r="N1309" s="13">
        <v>14</v>
      </c>
      <c r="O1309" s="15"/>
      <c r="P1309" s="6">
        <v>40546.957303240742</v>
      </c>
      <c r="Q1309" s="16" t="s">
        <v>496</v>
      </c>
      <c r="R1309" s="17" t="s">
        <v>2644</v>
      </c>
      <c r="S1309" s="11" t="s">
        <v>2645</v>
      </c>
      <c r="T1309" s="12"/>
      <c r="U1309" s="10" t="str">
        <f>HYPERLINK("https://pbs.twimg.com/profile_images/1900771571/Don_2520Nadie.JPG","View")</f>
        <v>View</v>
      </c>
    </row>
    <row r="1310" spans="1:21" ht="30.6">
      <c r="A1310" s="6">
        <v>43425.582824074074</v>
      </c>
      <c r="B1310" s="7" t="str">
        <f>HYPERLINK("https://twitter.com/javiyfran","@javiyfran")</f>
        <v>@javiyfran</v>
      </c>
      <c r="C1310" s="8" t="s">
        <v>2545</v>
      </c>
      <c r="D1310" s="9" t="s">
        <v>6311</v>
      </c>
      <c r="E1310" s="10" t="str">
        <f>HYPERLINK("https://twitter.com/javiyfran/status/1065228148546129922","1065228148546129922")</f>
        <v>1065228148546129922</v>
      </c>
      <c r="F1310" s="12"/>
      <c r="G1310" s="12"/>
      <c r="H1310" s="12"/>
      <c r="I1310" s="13">
        <v>0</v>
      </c>
      <c r="J1310" s="13">
        <v>0</v>
      </c>
      <c r="K1310" s="14" t="str">
        <f>HYPERLINK("http://twitter.com/download/android","Twitter for Android")</f>
        <v>Twitter for Android</v>
      </c>
      <c r="L1310" s="13">
        <v>365</v>
      </c>
      <c r="M1310" s="13">
        <v>647</v>
      </c>
      <c r="N1310" s="13">
        <v>9</v>
      </c>
      <c r="O1310" s="15"/>
      <c r="P1310" s="6">
        <v>41319.561597222222</v>
      </c>
      <c r="Q1310" s="12"/>
      <c r="R1310" s="19"/>
      <c r="S1310" s="12"/>
      <c r="T1310" s="12"/>
      <c r="U1310" s="10" t="str">
        <f>HYPERLINK("https://pbs.twimg.com/profile_images/722148732133896193/_g2FzeG5.jpg","View")</f>
        <v>View</v>
      </c>
    </row>
    <row r="1311" spans="1:21" ht="20.399999999999999">
      <c r="A1311" s="6">
        <v>43425.582615740743</v>
      </c>
      <c r="B1311" s="7" t="str">
        <f>HYPERLINK("https://twitter.com/nafasaro1","@nafasaro1")</f>
        <v>@nafasaro1</v>
      </c>
      <c r="C1311" s="8" t="s">
        <v>3219</v>
      </c>
      <c r="D1311" s="9" t="s">
        <v>3220</v>
      </c>
      <c r="E1311" s="10" t="str">
        <f>HYPERLINK("https://twitter.com/nafasaro1/status/1065228075464564742","1065228075464564742")</f>
        <v>1065228075464564742</v>
      </c>
      <c r="F1311" s="12"/>
      <c r="G1311" s="12"/>
      <c r="H1311" s="12"/>
      <c r="I1311" s="13">
        <v>0</v>
      </c>
      <c r="J1311" s="13">
        <v>0</v>
      </c>
      <c r="K1311" s="14" t="str">
        <f>HYPERLINK("http://twitter.com/download/iphone","Twitter for iPhone")</f>
        <v>Twitter for iPhone</v>
      </c>
      <c r="L1311" s="13">
        <v>610</v>
      </c>
      <c r="M1311" s="13">
        <v>3000</v>
      </c>
      <c r="N1311" s="13">
        <v>18</v>
      </c>
      <c r="O1311" s="15"/>
      <c r="P1311" s="6">
        <v>42293.513032407413</v>
      </c>
      <c r="Q1311" s="16" t="s">
        <v>3224</v>
      </c>
      <c r="R1311" s="17" t="s">
        <v>3225</v>
      </c>
      <c r="S1311" s="12"/>
      <c r="T1311" s="12"/>
      <c r="U1311" s="10" t="str">
        <f>HYPERLINK("https://pbs.twimg.com/profile_images/1060646658982187009/6VfOFfpw.jpg","View")</f>
        <v>View</v>
      </c>
    </row>
    <row r="1312" spans="1:21" ht="102">
      <c r="A1312" s="6">
        <v>43425.580821759257</v>
      </c>
      <c r="B1312" s="7" t="str">
        <f>HYPERLINK("https://twitter.com/juluniver","@juluniver")</f>
        <v>@juluniver</v>
      </c>
      <c r="C1312" s="8" t="s">
        <v>368</v>
      </c>
      <c r="D1312" s="9" t="s">
        <v>3227</v>
      </c>
      <c r="E1312" s="10" t="str">
        <f>HYPERLINK("https://twitter.com/juluniver/status/1065227424953221120","1065227424953221120")</f>
        <v>1065227424953221120</v>
      </c>
      <c r="F1312" s="11" t="s">
        <v>3230</v>
      </c>
      <c r="G1312" s="11" t="s">
        <v>2067</v>
      </c>
      <c r="H1312" s="12"/>
      <c r="I1312" s="13">
        <v>0</v>
      </c>
      <c r="J1312" s="13">
        <v>0</v>
      </c>
      <c r="K1312" s="14" t="str">
        <f>HYPERLINK("http://twitter.com/download/android","Twitter for Android")</f>
        <v>Twitter for Android</v>
      </c>
      <c r="L1312" s="13">
        <v>143</v>
      </c>
      <c r="M1312" s="13">
        <v>91</v>
      </c>
      <c r="N1312" s="13">
        <v>2</v>
      </c>
      <c r="O1312" s="15"/>
      <c r="P1312" s="6">
        <v>42166.543541666666</v>
      </c>
      <c r="Q1312" s="16" t="s">
        <v>371</v>
      </c>
      <c r="R1312" s="17" t="s">
        <v>372</v>
      </c>
      <c r="S1312" s="12"/>
      <c r="T1312" s="12"/>
      <c r="U1312" s="10" t="str">
        <f>HYPERLINK("https://pbs.twimg.com/profile_images/847880241892777992/Krxx7fp-.jpg","View")</f>
        <v>View</v>
      </c>
    </row>
    <row r="1313" spans="1:21" ht="40.799999999999997">
      <c r="A1313" s="6">
        <v>43425.579675925925</v>
      </c>
      <c r="B1313" s="7" t="str">
        <f>HYPERLINK("https://twitter.com/elnacionalcat_e","@elnacionalcat_e")</f>
        <v>@elnacionalcat_e</v>
      </c>
      <c r="C1313" s="8" t="s">
        <v>1368</v>
      </c>
      <c r="D1313" s="9" t="s">
        <v>6312</v>
      </c>
      <c r="E1313" s="10" t="str">
        <f>HYPERLINK("https://twitter.com/elnacionalcat_e/status/1065227008567844865","1065227008567844865")</f>
        <v>1065227008567844865</v>
      </c>
      <c r="F1313" s="11" t="s">
        <v>1393</v>
      </c>
      <c r="G1313" s="12"/>
      <c r="H1313" s="12"/>
      <c r="I1313" s="13">
        <v>0</v>
      </c>
      <c r="J1313" s="13">
        <v>1</v>
      </c>
      <c r="K1313" s="14" t="str">
        <f>HYPERLINK("https://about.twitter.com/products/tweetdeck","TweetDeck")</f>
        <v>TweetDeck</v>
      </c>
      <c r="L1313" s="13">
        <v>5489</v>
      </c>
      <c r="M1313" s="13">
        <v>355</v>
      </c>
      <c r="N1313" s="13">
        <v>167</v>
      </c>
      <c r="O1313" s="15"/>
      <c r="P1313" s="6">
        <v>42247.840567129635</v>
      </c>
      <c r="Q1313" s="16" t="s">
        <v>421</v>
      </c>
      <c r="R1313" s="17" t="s">
        <v>1374</v>
      </c>
      <c r="S1313" s="11" t="s">
        <v>1375</v>
      </c>
      <c r="T1313" s="12"/>
      <c r="U1313" s="10" t="str">
        <f>HYPERLINK("https://pbs.twimg.com/profile_images/646298514385960960/VEutSP7L.png","View")</f>
        <v>View</v>
      </c>
    </row>
    <row r="1314" spans="1:21" ht="40.799999999999997">
      <c r="A1314" s="6">
        <v>43425.579305555555</v>
      </c>
      <c r="B1314" s="7" t="str">
        <f>HYPERLINK("https://twitter.com/elpunkdemon","@elpunkdemon")</f>
        <v>@elpunkdemon</v>
      </c>
      <c r="C1314" s="8" t="s">
        <v>6313</v>
      </c>
      <c r="D1314" s="9" t="s">
        <v>6314</v>
      </c>
      <c r="E1314" s="10" t="str">
        <f>HYPERLINK("https://twitter.com/elpunkdemon/status/1065226873809092608","1065226873809092608")</f>
        <v>1065226873809092608</v>
      </c>
      <c r="F1314" s="12"/>
      <c r="G1314" s="12"/>
      <c r="H1314" s="12"/>
      <c r="I1314" s="13">
        <v>0</v>
      </c>
      <c r="J1314" s="13">
        <v>0</v>
      </c>
      <c r="K1314" s="14" t="str">
        <f>HYPERLINK("https://mobile.twitter.com","Twitter Lite")</f>
        <v>Twitter Lite</v>
      </c>
      <c r="L1314" s="13">
        <v>1591</v>
      </c>
      <c r="M1314" s="13">
        <v>1568</v>
      </c>
      <c r="N1314" s="13">
        <v>45</v>
      </c>
      <c r="O1314" s="15"/>
      <c r="P1314" s="6">
        <v>40746.07545138889</v>
      </c>
      <c r="Q1314" s="16" t="s">
        <v>6315</v>
      </c>
      <c r="R1314" s="17" t="s">
        <v>6316</v>
      </c>
      <c r="S1314" s="11" t="s">
        <v>6317</v>
      </c>
      <c r="T1314" s="12"/>
      <c r="U1314" s="10" t="str">
        <f>HYPERLINK("https://pbs.twimg.com/profile_images/581533125928423424/gDC6V4Zz.jpg","View")</f>
        <v>View</v>
      </c>
    </row>
    <row r="1315" spans="1:21" ht="20.399999999999999">
      <c r="A1315" s="6">
        <v>43425.579259259262</v>
      </c>
      <c r="B1315" s="7" t="str">
        <f>HYPERLINK("https://twitter.com/En_Blau_es","@En_Blau_es")</f>
        <v>@En_Blau_es</v>
      </c>
      <c r="C1315" s="8" t="s">
        <v>4747</v>
      </c>
      <c r="D1315" s="9" t="s">
        <v>1390</v>
      </c>
      <c r="E1315" s="10" t="str">
        <f>HYPERLINK("https://twitter.com/En_Blau_es/status/1065226857283502081","1065226857283502081")</f>
        <v>1065226857283502081</v>
      </c>
      <c r="F1315" s="11" t="s">
        <v>1393</v>
      </c>
      <c r="G1315" s="12"/>
      <c r="H1315" s="12"/>
      <c r="I1315" s="13">
        <v>0</v>
      </c>
      <c r="J1315" s="13">
        <v>0</v>
      </c>
      <c r="K1315" s="14" t="str">
        <f>HYPERLINK("http://www.wearebab.com","Comitium5 BAB")</f>
        <v>Comitium5 BAB</v>
      </c>
      <c r="L1315" s="13">
        <v>386</v>
      </c>
      <c r="M1315" s="13">
        <v>98</v>
      </c>
      <c r="N1315" s="13">
        <v>4</v>
      </c>
      <c r="O1315" s="15"/>
      <c r="P1315" s="6">
        <v>42824.566701388889</v>
      </c>
      <c r="Q1315" s="12"/>
      <c r="R1315" s="19"/>
      <c r="S1315" s="11" t="s">
        <v>4750</v>
      </c>
      <c r="T1315" s="12"/>
      <c r="U1315" s="10" t="str">
        <f>HYPERLINK("https://pbs.twimg.com/profile_images/849621382346534912/rD-7feps.jpg","View")</f>
        <v>View</v>
      </c>
    </row>
    <row r="1316" spans="1:21" ht="51">
      <c r="A1316" s="6">
        <v>43425.579189814816</v>
      </c>
      <c r="B1316" s="7" t="str">
        <f>HYPERLINK("https://twitter.com/titor41","@titor41")</f>
        <v>@titor41</v>
      </c>
      <c r="C1316" s="8" t="s">
        <v>3233</v>
      </c>
      <c r="D1316" s="9" t="s">
        <v>3234</v>
      </c>
      <c r="E1316" s="10" t="str">
        <f>HYPERLINK("https://twitter.com/titor41/status/1065226833183088640","1065226833183088640")</f>
        <v>1065226833183088640</v>
      </c>
      <c r="F1316" s="12"/>
      <c r="G1316" s="12"/>
      <c r="H1316" s="12"/>
      <c r="I1316" s="13">
        <v>1</v>
      </c>
      <c r="J1316" s="13">
        <v>3</v>
      </c>
      <c r="K1316" s="14" t="str">
        <f t="shared" ref="K1316:K1318" si="267">HYPERLINK("http://twitter.com/download/android","Twitter for Android")</f>
        <v>Twitter for Android</v>
      </c>
      <c r="L1316" s="13">
        <v>469</v>
      </c>
      <c r="M1316" s="13">
        <v>809</v>
      </c>
      <c r="N1316" s="13">
        <v>3</v>
      </c>
      <c r="O1316" s="15"/>
      <c r="P1316" s="6">
        <v>40887.840555555558</v>
      </c>
      <c r="Q1316" s="16" t="s">
        <v>3235</v>
      </c>
      <c r="R1316" s="17" t="s">
        <v>3238</v>
      </c>
      <c r="S1316" s="12"/>
      <c r="T1316" s="12"/>
      <c r="U1316" s="10" t="str">
        <f>HYPERLINK("https://pbs.twimg.com/profile_images/998518732505862144/Ufo9vwq8.jpg","View")</f>
        <v>View</v>
      </c>
    </row>
    <row r="1317" spans="1:21" ht="40.799999999999997">
      <c r="A1317" s="6">
        <v>43425.578692129631</v>
      </c>
      <c r="B1317" s="7" t="str">
        <f>HYPERLINK("https://twitter.com/estheerc_","@estheerc_")</f>
        <v>@estheerc_</v>
      </c>
      <c r="C1317" s="8" t="s">
        <v>6318</v>
      </c>
      <c r="D1317" s="9" t="s">
        <v>6319</v>
      </c>
      <c r="E1317" s="10" t="str">
        <f>HYPERLINK("https://twitter.com/estheerc_/status/1065226654145003520","1065226654145003520")</f>
        <v>1065226654145003520</v>
      </c>
      <c r="F1317" s="12"/>
      <c r="G1317" s="12"/>
      <c r="H1317" s="12"/>
      <c r="I1317" s="13">
        <v>0</v>
      </c>
      <c r="J1317" s="13">
        <v>0</v>
      </c>
      <c r="K1317" s="14" t="str">
        <f t="shared" si="267"/>
        <v>Twitter for Android</v>
      </c>
      <c r="L1317" s="13">
        <v>898</v>
      </c>
      <c r="M1317" s="13">
        <v>1208</v>
      </c>
      <c r="N1317" s="13">
        <v>2</v>
      </c>
      <c r="O1317" s="15"/>
      <c r="P1317" s="6">
        <v>40810.780381944445</v>
      </c>
      <c r="Q1317" s="16" t="s">
        <v>6320</v>
      </c>
      <c r="R1317" s="17" t="s">
        <v>6321</v>
      </c>
      <c r="S1317" s="11" t="s">
        <v>6322</v>
      </c>
      <c r="T1317" s="12"/>
      <c r="U1317" s="10" t="str">
        <f>HYPERLINK("https://pbs.twimg.com/profile_images/1016433546896871425/qx0e6wO6.jpg","View")</f>
        <v>View</v>
      </c>
    </row>
    <row r="1318" spans="1:21" ht="51">
      <c r="A1318" s="6">
        <v>43425.578148148154</v>
      </c>
      <c r="B1318" s="7" t="str">
        <f>HYPERLINK("https://twitter.com/ceciliaencina","@ceciliaencina")</f>
        <v>@ceciliaencina</v>
      </c>
      <c r="C1318" s="8" t="s">
        <v>6323</v>
      </c>
      <c r="D1318" s="9" t="s">
        <v>6324</v>
      </c>
      <c r="E1318" s="10" t="str">
        <f>HYPERLINK("https://twitter.com/ceciliaencina/status/1065226453493665792","1065226453493665792")</f>
        <v>1065226453493665792</v>
      </c>
      <c r="F1318" s="12"/>
      <c r="G1318" s="12"/>
      <c r="H1318" s="12"/>
      <c r="I1318" s="13">
        <v>5</v>
      </c>
      <c r="J1318" s="13">
        <v>11</v>
      </c>
      <c r="K1318" s="14" t="str">
        <f t="shared" si="267"/>
        <v>Twitter for Android</v>
      </c>
      <c r="L1318" s="13">
        <v>434</v>
      </c>
      <c r="M1318" s="13">
        <v>442</v>
      </c>
      <c r="N1318" s="13">
        <v>2</v>
      </c>
      <c r="O1318" s="15"/>
      <c r="P1318" s="6">
        <v>40450.676793981482</v>
      </c>
      <c r="Q1318" s="16" t="s">
        <v>6325</v>
      </c>
      <c r="R1318" s="17" t="s">
        <v>6326</v>
      </c>
      <c r="S1318" s="12"/>
      <c r="T1318" s="12"/>
      <c r="U1318" s="10" t="str">
        <f>HYPERLINK("https://pbs.twimg.com/profile_images/1003252087822659584/V5OTb-Yg.jpg","View")</f>
        <v>View</v>
      </c>
    </row>
    <row r="1319" spans="1:21" ht="30.6">
      <c r="A1319" s="6">
        <v>43425.578032407408</v>
      </c>
      <c r="B1319" s="7" t="str">
        <f>HYPERLINK("https://twitter.com/PilotoRojo73","@PilotoRojo73")</f>
        <v>@PilotoRojo73</v>
      </c>
      <c r="C1319" s="8" t="s">
        <v>5496</v>
      </c>
      <c r="D1319" s="9" t="s">
        <v>6327</v>
      </c>
      <c r="E1319" s="10" t="str">
        <f>HYPERLINK("https://twitter.com/PilotoRojo73/status/1065226414331502595","1065226414331502595")</f>
        <v>1065226414331502595</v>
      </c>
      <c r="F1319" s="12"/>
      <c r="G1319" s="12"/>
      <c r="H1319" s="12"/>
      <c r="I1319" s="13">
        <v>43</v>
      </c>
      <c r="J1319" s="13">
        <v>59</v>
      </c>
      <c r="K1319" s="14" t="str">
        <f>HYPERLINK("https://mobile.twitter.com","Twitter Lite")</f>
        <v>Twitter Lite</v>
      </c>
      <c r="L1319" s="13">
        <v>10216</v>
      </c>
      <c r="M1319" s="13">
        <v>7890</v>
      </c>
      <c r="N1319" s="13">
        <v>60</v>
      </c>
      <c r="O1319" s="15"/>
      <c r="P1319" s="6">
        <v>42494.038310185184</v>
      </c>
      <c r="Q1319" s="16" t="s">
        <v>5501</v>
      </c>
      <c r="R1319" s="17" t="s">
        <v>5502</v>
      </c>
      <c r="S1319" s="11" t="s">
        <v>5503</v>
      </c>
      <c r="T1319" s="12"/>
      <c r="U1319" s="10" t="str">
        <f>HYPERLINK("https://pbs.twimg.com/profile_images/1051228030612492288/ocTykL51.jpg","View")</f>
        <v>View</v>
      </c>
    </row>
    <row r="1320" spans="1:21" ht="51">
      <c r="A1320" s="6">
        <v>43425.576805555553</v>
      </c>
      <c r="B1320" s="7" t="str">
        <f>HYPERLINK("https://twitter.com/AngelGmez","@AngelGmez")</f>
        <v>@AngelGmez</v>
      </c>
      <c r="C1320" s="8" t="s">
        <v>6328</v>
      </c>
      <c r="D1320" s="9" t="s">
        <v>6329</v>
      </c>
      <c r="E1320" s="10" t="str">
        <f>HYPERLINK("https://twitter.com/AngelGmez/status/1065225968783101952","1065225968783101952")</f>
        <v>1065225968783101952</v>
      </c>
      <c r="F1320" s="12"/>
      <c r="G1320" s="12"/>
      <c r="H1320" s="12"/>
      <c r="I1320" s="13">
        <v>14</v>
      </c>
      <c r="J1320" s="13">
        <v>17</v>
      </c>
      <c r="K1320" s="14" t="str">
        <f t="shared" ref="K1320:K1322" si="268">HYPERLINK("http://twitter.com/download/android","Twitter for Android")</f>
        <v>Twitter for Android</v>
      </c>
      <c r="L1320" s="13">
        <v>934</v>
      </c>
      <c r="M1320" s="13">
        <v>946</v>
      </c>
      <c r="N1320" s="13">
        <v>7</v>
      </c>
      <c r="O1320" s="15"/>
      <c r="P1320" s="6">
        <v>40824.556701388887</v>
      </c>
      <c r="Q1320" s="16" t="s">
        <v>6330</v>
      </c>
      <c r="R1320" s="17" t="s">
        <v>6331</v>
      </c>
      <c r="S1320" s="12"/>
      <c r="T1320" s="12"/>
      <c r="U1320" s="10" t="str">
        <f>HYPERLINK("https://pbs.twimg.com/profile_images/623506738726203393/YkBhRN61.jpg","View")</f>
        <v>View</v>
      </c>
    </row>
    <row r="1321" spans="1:21" ht="40.799999999999997">
      <c r="A1321" s="6">
        <v>43425.576574074075</v>
      </c>
      <c r="B1321" s="7" t="str">
        <f>HYPERLINK("https://twitter.com/maximors45","@maximors45")</f>
        <v>@maximors45</v>
      </c>
      <c r="C1321" s="8" t="s">
        <v>412</v>
      </c>
      <c r="D1321" s="9" t="s">
        <v>3239</v>
      </c>
      <c r="E1321" s="10" t="str">
        <f>HYPERLINK("https://twitter.com/maximors45/status/1065225882783096833","1065225882783096833")</f>
        <v>1065225882783096833</v>
      </c>
      <c r="F1321" s="12"/>
      <c r="G1321" s="11" t="s">
        <v>3240</v>
      </c>
      <c r="H1321" s="12"/>
      <c r="I1321" s="13">
        <v>2</v>
      </c>
      <c r="J1321" s="13">
        <v>2</v>
      </c>
      <c r="K1321" s="14" t="str">
        <f t="shared" si="268"/>
        <v>Twitter for Android</v>
      </c>
      <c r="L1321" s="13">
        <v>7321</v>
      </c>
      <c r="M1321" s="13">
        <v>6287</v>
      </c>
      <c r="N1321" s="13">
        <v>212</v>
      </c>
      <c r="O1321" s="15"/>
      <c r="P1321" s="6">
        <v>41713.777592592596</v>
      </c>
      <c r="Q1321" s="16" t="s">
        <v>416</v>
      </c>
      <c r="R1321" s="17" t="s">
        <v>417</v>
      </c>
      <c r="S1321" s="12"/>
      <c r="T1321" s="12"/>
      <c r="U1321" s="10" t="str">
        <f>HYPERLINK("https://pbs.twimg.com/profile_images/1063386537101012998/36434Wof.jpg","View")</f>
        <v>View</v>
      </c>
    </row>
    <row r="1322" spans="1:21" ht="13.2">
      <c r="A1322" s="6">
        <v>43425.575659722221</v>
      </c>
      <c r="B1322" s="7" t="str">
        <f>HYPERLINK("https://twitter.com/JoseLCD95","@JoseLCD95")</f>
        <v>@JoseLCD95</v>
      </c>
      <c r="C1322" s="8" t="s">
        <v>6332</v>
      </c>
      <c r="D1322" s="9" t="s">
        <v>6333</v>
      </c>
      <c r="E1322" s="10" t="str">
        <f>HYPERLINK("https://twitter.com/JoseLCD95/status/1065225551982534661","1065225551982534661")</f>
        <v>1065225551982534661</v>
      </c>
      <c r="F1322" s="12"/>
      <c r="G1322" s="12"/>
      <c r="H1322" s="12"/>
      <c r="I1322" s="13">
        <v>0</v>
      </c>
      <c r="J1322" s="13">
        <v>0</v>
      </c>
      <c r="K1322" s="14" t="str">
        <f t="shared" si="268"/>
        <v>Twitter for Android</v>
      </c>
      <c r="L1322" s="13">
        <v>356</v>
      </c>
      <c r="M1322" s="13">
        <v>260</v>
      </c>
      <c r="N1322" s="13">
        <v>3</v>
      </c>
      <c r="O1322" s="15"/>
      <c r="P1322" s="6">
        <v>40739.727546296301</v>
      </c>
      <c r="Q1322" s="16" t="s">
        <v>6334</v>
      </c>
      <c r="R1322" s="17" t="s">
        <v>6335</v>
      </c>
      <c r="S1322" s="12"/>
      <c r="T1322" s="12"/>
      <c r="U1322" s="10" t="str">
        <f>HYPERLINK("https://pbs.twimg.com/profile_images/826510954712199168/p8aVMR6J.jpg","View")</f>
        <v>View</v>
      </c>
    </row>
    <row r="1323" spans="1:21" ht="40.799999999999997">
      <c r="A1323" s="6">
        <v>43425.575555555552</v>
      </c>
      <c r="B1323" s="7" t="str">
        <f>HYPERLINK("https://twitter.com/elnath_taur","@elnath_taur")</f>
        <v>@elnath_taur</v>
      </c>
      <c r="C1323" s="8" t="s">
        <v>6259</v>
      </c>
      <c r="D1323" s="9" t="s">
        <v>6336</v>
      </c>
      <c r="E1323" s="10" t="str">
        <f>HYPERLINK("https://twitter.com/elnath_taur/status/1065225516347793408","1065225516347793408")</f>
        <v>1065225516347793408</v>
      </c>
      <c r="F1323" s="12"/>
      <c r="G1323" s="12"/>
      <c r="H1323" s="12"/>
      <c r="I1323" s="13">
        <v>0</v>
      </c>
      <c r="J1323" s="13">
        <v>0</v>
      </c>
      <c r="K1323" s="14" t="str">
        <f>HYPERLINK("http://twitter.com/download/iphone","Twitter for iPhone")</f>
        <v>Twitter for iPhone</v>
      </c>
      <c r="L1323" s="13">
        <v>62</v>
      </c>
      <c r="M1323" s="13">
        <v>372</v>
      </c>
      <c r="N1323" s="13">
        <v>0</v>
      </c>
      <c r="O1323" s="15"/>
      <c r="P1323" s="6">
        <v>43251.964826388888</v>
      </c>
      <c r="Q1323" s="16" t="s">
        <v>6261</v>
      </c>
      <c r="R1323" s="17" t="s">
        <v>6262</v>
      </c>
      <c r="S1323" s="12"/>
      <c r="T1323" s="12"/>
      <c r="U1323" s="10" t="str">
        <f>HYPERLINK("https://pbs.twimg.com/profile_images/1002296818296868864/tRctdB3Y.jpg","View")</f>
        <v>View</v>
      </c>
    </row>
    <row r="1324" spans="1:21" ht="40.799999999999997">
      <c r="A1324" s="6">
        <v>43425.575497685189</v>
      </c>
      <c r="B1324" s="7" t="str">
        <f>HYPERLINK("https://twitter.com/KaRuKu9","@KaRuKu9")</f>
        <v>@KaRuKu9</v>
      </c>
      <c r="C1324" s="8" t="s">
        <v>3241</v>
      </c>
      <c r="D1324" s="9" t="s">
        <v>3242</v>
      </c>
      <c r="E1324" s="10" t="str">
        <f>HYPERLINK("https://twitter.com/KaRuKu9/status/1065225496601001996","1065225496601001996")</f>
        <v>1065225496601001996</v>
      </c>
      <c r="F1324" s="12"/>
      <c r="G1324" s="12"/>
      <c r="H1324" s="12"/>
      <c r="I1324" s="13">
        <v>1</v>
      </c>
      <c r="J1324" s="13">
        <v>3</v>
      </c>
      <c r="K1324" s="14" t="str">
        <f t="shared" ref="K1324:K1325" si="269">HYPERLINK("http://twitter.com/download/android","Twitter for Android")</f>
        <v>Twitter for Android</v>
      </c>
      <c r="L1324" s="13">
        <v>1658</v>
      </c>
      <c r="M1324" s="13">
        <v>2547</v>
      </c>
      <c r="N1324" s="13">
        <v>7</v>
      </c>
      <c r="O1324" s="15"/>
      <c r="P1324" s="6">
        <v>43122.559398148151</v>
      </c>
      <c r="Q1324" s="16" t="s">
        <v>3245</v>
      </c>
      <c r="R1324" s="17" t="s">
        <v>3246</v>
      </c>
      <c r="S1324" s="12"/>
      <c r="T1324" s="12"/>
      <c r="U1324" s="10" t="str">
        <f>HYPERLINK("https://pbs.twimg.com/profile_images/1064239962818777088/Oc2QjA9p.jpg","View")</f>
        <v>View</v>
      </c>
    </row>
    <row r="1325" spans="1:21" ht="20.399999999999999">
      <c r="A1325" s="6">
        <v>43425.575462962966</v>
      </c>
      <c r="B1325" s="7" t="str">
        <f>HYPERLINK("https://twitter.com/Alexzerobcn","@Alexzerobcn")</f>
        <v>@Alexzerobcn</v>
      </c>
      <c r="C1325" s="8" t="s">
        <v>6337</v>
      </c>
      <c r="D1325" s="9" t="s">
        <v>6338</v>
      </c>
      <c r="E1325" s="10" t="str">
        <f>HYPERLINK("https://twitter.com/Alexzerobcn/status/1065225483992920067","1065225483992920067")</f>
        <v>1065225483992920067</v>
      </c>
      <c r="F1325" s="12"/>
      <c r="G1325" s="12"/>
      <c r="H1325" s="12"/>
      <c r="I1325" s="13">
        <v>1</v>
      </c>
      <c r="J1325" s="13">
        <v>0</v>
      </c>
      <c r="K1325" s="14" t="str">
        <f t="shared" si="269"/>
        <v>Twitter for Android</v>
      </c>
      <c r="L1325" s="13">
        <v>4263</v>
      </c>
      <c r="M1325" s="13">
        <v>4782</v>
      </c>
      <c r="N1325" s="13">
        <v>0</v>
      </c>
      <c r="O1325" s="15"/>
      <c r="P1325" s="6">
        <v>42329.930972222224</v>
      </c>
      <c r="Q1325" s="12"/>
      <c r="R1325" s="17" t="s">
        <v>6339</v>
      </c>
      <c r="S1325" s="12"/>
      <c r="T1325" s="12"/>
      <c r="U1325" s="10" t="str">
        <f>HYPERLINK("https://pbs.twimg.com/profile_images/1025109170507472896/cI_OUtEN.jpg","View")</f>
        <v>View</v>
      </c>
    </row>
    <row r="1326" spans="1:21" ht="51">
      <c r="A1326" s="6">
        <v>43425.575358796297</v>
      </c>
      <c r="B1326" s="7" t="str">
        <f>HYPERLINK("https://twitter.com/Warrior87x","@Warrior87x")</f>
        <v>@Warrior87x</v>
      </c>
      <c r="C1326" s="8" t="s">
        <v>6340</v>
      </c>
      <c r="D1326" s="9" t="s">
        <v>6341</v>
      </c>
      <c r="E1326" s="10" t="str">
        <f>HYPERLINK("https://twitter.com/Warrior87x/status/1065225444226727936","1065225444226727936")</f>
        <v>1065225444226727936</v>
      </c>
      <c r="F1326" s="12"/>
      <c r="G1326" s="12"/>
      <c r="H1326" s="12"/>
      <c r="I1326" s="13">
        <v>29</v>
      </c>
      <c r="J1326" s="13">
        <v>48</v>
      </c>
      <c r="K1326" s="14" t="str">
        <f t="shared" ref="K1326:K1327" si="270">HYPERLINK("http://twitter.com","Twitter Web Client")</f>
        <v>Twitter Web Client</v>
      </c>
      <c r="L1326" s="13">
        <v>526</v>
      </c>
      <c r="M1326" s="13">
        <v>306</v>
      </c>
      <c r="N1326" s="13">
        <v>2</v>
      </c>
      <c r="O1326" s="15"/>
      <c r="P1326" s="6">
        <v>43131.8050462963</v>
      </c>
      <c r="Q1326" s="16" t="s">
        <v>6342</v>
      </c>
      <c r="R1326" s="17" t="s">
        <v>6343</v>
      </c>
      <c r="S1326" s="12"/>
      <c r="T1326" s="12"/>
      <c r="U1326" s="10" t="str">
        <f>HYPERLINK("https://pbs.twimg.com/profile_images/1009334733724057601/P1iq5nlf.jpg","View")</f>
        <v>View</v>
      </c>
    </row>
    <row r="1327" spans="1:21" ht="40.799999999999997">
      <c r="A1327" s="6">
        <v>43425.575254629628</v>
      </c>
      <c r="B1327" s="7" t="str">
        <f>HYPERLINK("https://twitter.com/davidwalsh92","@davidwalsh92")</f>
        <v>@davidwalsh92</v>
      </c>
      <c r="C1327" s="8" t="s">
        <v>6344</v>
      </c>
      <c r="D1327" s="9" t="s">
        <v>6345</v>
      </c>
      <c r="E1327" s="10" t="str">
        <f>HYPERLINK("https://twitter.com/davidwalsh92/status/1065225408411549696","1065225408411549696")</f>
        <v>1065225408411549696</v>
      </c>
      <c r="F1327" s="12"/>
      <c r="G1327" s="12"/>
      <c r="H1327" s="12"/>
      <c r="I1327" s="13">
        <v>0</v>
      </c>
      <c r="J1327" s="13">
        <v>0</v>
      </c>
      <c r="K1327" s="14" t="str">
        <f t="shared" si="270"/>
        <v>Twitter Web Client</v>
      </c>
      <c r="L1327" s="13">
        <v>331</v>
      </c>
      <c r="M1327" s="13">
        <v>764</v>
      </c>
      <c r="N1327" s="13">
        <v>2</v>
      </c>
      <c r="O1327" s="15"/>
      <c r="P1327" s="6">
        <v>40946.746365740742</v>
      </c>
      <c r="Q1327" s="16" t="s">
        <v>6346</v>
      </c>
      <c r="R1327" s="17" t="s">
        <v>6347</v>
      </c>
      <c r="S1327" s="12"/>
      <c r="T1327" s="12"/>
      <c r="U1327" s="10" t="str">
        <f>HYPERLINK("https://pbs.twimg.com/profile_images/1030234392789172224/Nr9oRr72.jpg","View")</f>
        <v>View</v>
      </c>
    </row>
    <row r="1328" spans="1:21" ht="20.399999999999999">
      <c r="A1328" s="6">
        <v>43425.57508101852</v>
      </c>
      <c r="B1328" s="7" t="str">
        <f>HYPERLINK("https://twitter.com/tamkiki","@tamkiki")</f>
        <v>@tamkiki</v>
      </c>
      <c r="C1328" s="8" t="s">
        <v>6348</v>
      </c>
      <c r="D1328" s="9" t="s">
        <v>6349</v>
      </c>
      <c r="E1328" s="10" t="str">
        <f>HYPERLINK("https://twitter.com/tamkiki/status/1065225345039773698","1065225345039773698")</f>
        <v>1065225345039773698</v>
      </c>
      <c r="F1328" s="12"/>
      <c r="G1328" s="12"/>
      <c r="H1328" s="12"/>
      <c r="I1328" s="13">
        <v>0</v>
      </c>
      <c r="J1328" s="13">
        <v>2</v>
      </c>
      <c r="K1328" s="14" t="str">
        <f>HYPERLINK("http://ubersocial.com","UberSocial for Android")</f>
        <v>UberSocial for Android</v>
      </c>
      <c r="L1328" s="13">
        <v>221</v>
      </c>
      <c r="M1328" s="13">
        <v>339</v>
      </c>
      <c r="N1328" s="13">
        <v>18</v>
      </c>
      <c r="O1328" s="15"/>
      <c r="P1328" s="6">
        <v>39917.650138888886</v>
      </c>
      <c r="Q1328" s="16" t="s">
        <v>6350</v>
      </c>
      <c r="R1328" s="17" t="s">
        <v>6351</v>
      </c>
      <c r="S1328" s="11" t="s">
        <v>6352</v>
      </c>
      <c r="T1328" s="12"/>
      <c r="U1328" s="10" t="str">
        <f>HYPERLINK("https://pbs.twimg.com/profile_images/856138597145210880/XS2sqnyZ.jpg","View")</f>
        <v>View</v>
      </c>
    </row>
    <row r="1329" spans="1:21" ht="40.799999999999997">
      <c r="A1329" s="6">
        <v>43425.574733796297</v>
      </c>
      <c r="B1329" s="7" t="str">
        <f>HYPERLINK("https://twitter.com/fer2365","@fer2365")</f>
        <v>@fer2365</v>
      </c>
      <c r="C1329" s="8" t="s">
        <v>6353</v>
      </c>
      <c r="D1329" s="9" t="s">
        <v>6354</v>
      </c>
      <c r="E1329" s="10" t="str">
        <f>HYPERLINK("https://twitter.com/fer2365/status/1065225219646861313","1065225219646861313")</f>
        <v>1065225219646861313</v>
      </c>
      <c r="F1329" s="12"/>
      <c r="G1329" s="12"/>
      <c r="H1329" s="12"/>
      <c r="I1329" s="13">
        <v>24</v>
      </c>
      <c r="J1329" s="13">
        <v>41</v>
      </c>
      <c r="K1329" s="14" t="str">
        <f>HYPERLINK("http://twitter.com","Twitter Web Client")</f>
        <v>Twitter Web Client</v>
      </c>
      <c r="L1329" s="13">
        <v>1795</v>
      </c>
      <c r="M1329" s="13">
        <v>1560</v>
      </c>
      <c r="N1329" s="13">
        <v>15</v>
      </c>
      <c r="O1329" s="15"/>
      <c r="P1329" s="6">
        <v>40246.72520833333</v>
      </c>
      <c r="Q1329" s="12"/>
      <c r="R1329" s="17" t="s">
        <v>6355</v>
      </c>
      <c r="S1329" s="12"/>
      <c r="T1329" s="12"/>
      <c r="U1329" s="10" t="str">
        <f>HYPERLINK("https://pbs.twimg.com/profile_images/1052635885332762625/Cne5ZWEm.jpg","View")</f>
        <v>View</v>
      </c>
    </row>
    <row r="1330" spans="1:21" ht="30.6">
      <c r="A1330" s="6">
        <v>43425.574664351851</v>
      </c>
      <c r="B1330" s="7" t="str">
        <f>HYPERLINK("https://twitter.com/Nemesiswings","@Nemesiswings")</f>
        <v>@Nemesiswings</v>
      </c>
      <c r="C1330" s="8" t="s">
        <v>6356</v>
      </c>
      <c r="D1330" s="9" t="s">
        <v>6357</v>
      </c>
      <c r="E1330" s="10" t="str">
        <f>HYPERLINK("https://twitter.com/Nemesiswings/status/1065225192358780928","1065225192358780928")</f>
        <v>1065225192358780928</v>
      </c>
      <c r="F1330" s="12"/>
      <c r="G1330" s="12"/>
      <c r="H1330" s="12"/>
      <c r="I1330" s="13">
        <v>1</v>
      </c>
      <c r="J1330" s="13">
        <v>3</v>
      </c>
      <c r="K1330" s="14" t="str">
        <f>HYPERLINK("http://twitter.com/download/android","Twitter for Android")</f>
        <v>Twitter for Android</v>
      </c>
      <c r="L1330" s="13">
        <v>788</v>
      </c>
      <c r="M1330" s="13">
        <v>150</v>
      </c>
      <c r="N1330" s="13">
        <v>10</v>
      </c>
      <c r="O1330" s="15"/>
      <c r="P1330" s="6">
        <v>42024.499351851853</v>
      </c>
      <c r="Q1330" s="12"/>
      <c r="R1330" s="17" t="s">
        <v>6358</v>
      </c>
      <c r="S1330" s="12"/>
      <c r="T1330" s="12"/>
      <c r="U1330" s="10" t="str">
        <f>HYPERLINK("https://pbs.twimg.com/profile_images/559451726944563200/6nQFi-CR.jpeg","View")</f>
        <v>View</v>
      </c>
    </row>
    <row r="1331" spans="1:21" ht="51">
      <c r="A1331" s="6">
        <v>43425.574652777781</v>
      </c>
      <c r="B1331" s="7" t="str">
        <f>HYPERLINK("https://twitter.com/Miguel_H_C","@Miguel_H_C")</f>
        <v>@Miguel_H_C</v>
      </c>
      <c r="C1331" s="8" t="s">
        <v>347</v>
      </c>
      <c r="D1331" s="9" t="s">
        <v>3248</v>
      </c>
      <c r="E1331" s="10" t="str">
        <f>HYPERLINK("https://twitter.com/Miguel_H_C/status/1065225187036209152","1065225187036209152")</f>
        <v>1065225187036209152</v>
      </c>
      <c r="F1331" s="12"/>
      <c r="G1331" s="12"/>
      <c r="H1331" s="12"/>
      <c r="I1331" s="13">
        <v>17</v>
      </c>
      <c r="J1331" s="13">
        <v>20</v>
      </c>
      <c r="K1331" s="14" t="str">
        <f t="shared" ref="K1331:K1333" si="271">HYPERLINK("http://twitter.com","Twitter Web Client")</f>
        <v>Twitter Web Client</v>
      </c>
      <c r="L1331" s="13">
        <v>826</v>
      </c>
      <c r="M1331" s="13">
        <v>349</v>
      </c>
      <c r="N1331" s="13">
        <v>8</v>
      </c>
      <c r="O1331" s="15"/>
      <c r="P1331" s="6">
        <v>40816.839016203703</v>
      </c>
      <c r="Q1331" s="16" t="s">
        <v>351</v>
      </c>
      <c r="R1331" s="19"/>
      <c r="S1331" s="12"/>
      <c r="T1331" s="12"/>
      <c r="U1331" s="10" t="str">
        <f>HYPERLINK("https://pbs.twimg.com/profile_images/997011182736302081/6PYtWK2Y.jpg","View")</f>
        <v>View</v>
      </c>
    </row>
    <row r="1332" spans="1:21" ht="30.6">
      <c r="A1332" s="6">
        <v>43425.574629629627</v>
      </c>
      <c r="B1332" s="7" t="str">
        <f>HYPERLINK("https://twitter.com/davidwalsh92","@davidwalsh92")</f>
        <v>@davidwalsh92</v>
      </c>
      <c r="C1332" s="8" t="s">
        <v>6344</v>
      </c>
      <c r="D1332" s="9" t="s">
        <v>6359</v>
      </c>
      <c r="E1332" s="10" t="str">
        <f>HYPERLINK("https://twitter.com/davidwalsh92/status/1065225181302525953","1065225181302525953")</f>
        <v>1065225181302525953</v>
      </c>
      <c r="F1332" s="12"/>
      <c r="G1332" s="12"/>
      <c r="H1332" s="12"/>
      <c r="I1332" s="13">
        <v>7</v>
      </c>
      <c r="J1332" s="13">
        <v>13</v>
      </c>
      <c r="K1332" s="14" t="str">
        <f t="shared" si="271"/>
        <v>Twitter Web Client</v>
      </c>
      <c r="L1332" s="13">
        <v>331</v>
      </c>
      <c r="M1332" s="13">
        <v>764</v>
      </c>
      <c r="N1332" s="13">
        <v>2</v>
      </c>
      <c r="O1332" s="15"/>
      <c r="P1332" s="6">
        <v>40946.746365740742</v>
      </c>
      <c r="Q1332" s="16" t="s">
        <v>6346</v>
      </c>
      <c r="R1332" s="17" t="s">
        <v>6347</v>
      </c>
      <c r="S1332" s="12"/>
      <c r="T1332" s="12"/>
      <c r="U1332" s="10" t="str">
        <f>HYPERLINK("https://pbs.twimg.com/profile_images/1030234392789172224/Nr9oRr72.jpg","View")</f>
        <v>View</v>
      </c>
    </row>
    <row r="1333" spans="1:21" ht="30.6">
      <c r="A1333" s="6">
        <v>43425.573993055557</v>
      </c>
      <c r="B1333" s="7" t="str">
        <f>HYPERLINK("https://twitter.com/JYA12","@JYA12")</f>
        <v>@JYA12</v>
      </c>
      <c r="C1333" s="8" t="s">
        <v>6360</v>
      </c>
      <c r="D1333" s="9" t="s">
        <v>6361</v>
      </c>
      <c r="E1333" s="10" t="str">
        <f>HYPERLINK("https://twitter.com/JYA12/status/1065224949613383680","1065224949613383680")</f>
        <v>1065224949613383680</v>
      </c>
      <c r="F1333" s="12"/>
      <c r="G1333" s="12"/>
      <c r="H1333" s="12"/>
      <c r="I1333" s="13">
        <v>1</v>
      </c>
      <c r="J1333" s="13">
        <v>0</v>
      </c>
      <c r="K1333" s="14" t="str">
        <f t="shared" si="271"/>
        <v>Twitter Web Client</v>
      </c>
      <c r="L1333" s="13">
        <v>775</v>
      </c>
      <c r="M1333" s="13">
        <v>802</v>
      </c>
      <c r="N1333" s="13">
        <v>22</v>
      </c>
      <c r="O1333" s="15"/>
      <c r="P1333" s="6">
        <v>40948.921979166669</v>
      </c>
      <c r="Q1333" s="12"/>
      <c r="R1333" s="17" t="s">
        <v>6362</v>
      </c>
      <c r="S1333" s="12"/>
      <c r="T1333" s="12"/>
      <c r="U1333" s="10" t="str">
        <f>HYPERLINK("https://pbs.twimg.com/profile_images/767773039559933953/xTAlJVSq.jpg","View")</f>
        <v>View</v>
      </c>
    </row>
    <row r="1334" spans="1:21" ht="30.6">
      <c r="A1334" s="6">
        <v>43425.573981481481</v>
      </c>
      <c r="B1334" s="7" t="str">
        <f>HYPERLINK("https://twitter.com/dsegoviaatienza","@dsegoviaatienza")</f>
        <v>@dsegoviaatienza</v>
      </c>
      <c r="C1334" s="8" t="s">
        <v>3251</v>
      </c>
      <c r="D1334" s="9" t="s">
        <v>3252</v>
      </c>
      <c r="E1334" s="10" t="str">
        <f>HYPERLINK("https://twitter.com/dsegoviaatienza/status/1065224943552659456","1065224943552659456")</f>
        <v>1065224943552659456</v>
      </c>
      <c r="F1334" s="12"/>
      <c r="G1334" s="12"/>
      <c r="H1334" s="12"/>
      <c r="I1334" s="13">
        <v>0</v>
      </c>
      <c r="J1334" s="13">
        <v>0</v>
      </c>
      <c r="K1334" s="14" t="str">
        <f t="shared" ref="K1334:K1335" si="272">HYPERLINK("http://twitter.com/download/android","Twitter for Android")</f>
        <v>Twitter for Android</v>
      </c>
      <c r="L1334" s="13">
        <v>190</v>
      </c>
      <c r="M1334" s="13">
        <v>945</v>
      </c>
      <c r="N1334" s="13">
        <v>1</v>
      </c>
      <c r="O1334" s="15"/>
      <c r="P1334" s="6">
        <v>40594.872002314813</v>
      </c>
      <c r="Q1334" s="16" t="s">
        <v>3253</v>
      </c>
      <c r="R1334" s="19"/>
      <c r="S1334" s="11" t="s">
        <v>3254</v>
      </c>
      <c r="T1334" s="12"/>
      <c r="U1334" s="10" t="str">
        <f>HYPERLINK("https://pbs.twimg.com/profile_images/1052880582974341120/qr6qYDKm.jpg","View")</f>
        <v>View</v>
      </c>
    </row>
    <row r="1335" spans="1:21" ht="30.6">
      <c r="A1335" s="6">
        <v>43425.572997685187</v>
      </c>
      <c r="B1335" s="7" t="str">
        <f>HYPERLINK("https://twitter.com/VolgGau","@VolgGau")</f>
        <v>@VolgGau</v>
      </c>
      <c r="C1335" s="8" t="s">
        <v>6363</v>
      </c>
      <c r="D1335" s="9" t="s">
        <v>6364</v>
      </c>
      <c r="E1335" s="10" t="str">
        <f>HYPERLINK("https://twitter.com/VolgGau/status/1065224588462825472","1065224588462825472")</f>
        <v>1065224588462825472</v>
      </c>
      <c r="F1335" s="12"/>
      <c r="G1335" s="12"/>
      <c r="H1335" s="12"/>
      <c r="I1335" s="13">
        <v>0</v>
      </c>
      <c r="J1335" s="13">
        <v>0</v>
      </c>
      <c r="K1335" s="14" t="str">
        <f t="shared" si="272"/>
        <v>Twitter for Android</v>
      </c>
      <c r="L1335" s="13">
        <v>545</v>
      </c>
      <c r="M1335" s="13">
        <v>930</v>
      </c>
      <c r="N1335" s="13">
        <v>15</v>
      </c>
      <c r="O1335" s="15"/>
      <c r="P1335" s="6">
        <v>40633.983043981483</v>
      </c>
      <c r="Q1335" s="16" t="s">
        <v>6365</v>
      </c>
      <c r="R1335" s="17" t="s">
        <v>6366</v>
      </c>
      <c r="S1335" s="12"/>
      <c r="T1335" s="12"/>
      <c r="U1335" s="10" t="str">
        <f>HYPERLINK("https://pbs.twimg.com/profile_images/1025283901718179841/jITsfnGV.jpg","View")</f>
        <v>View</v>
      </c>
    </row>
    <row r="1336" spans="1:21" ht="40.799999999999997">
      <c r="A1336" s="6">
        <v>43425.572685185187</v>
      </c>
      <c r="B1336" s="7" t="str">
        <f>HYPERLINK("https://twitter.com/CiudadanosCs","@CiudadanosCs")</f>
        <v>@CiudadanosCs</v>
      </c>
      <c r="C1336" s="8" t="s">
        <v>196</v>
      </c>
      <c r="D1336" s="9" t="s">
        <v>3256</v>
      </c>
      <c r="E1336" s="10" t="str">
        <f>HYPERLINK("https://twitter.com/CiudadanosCs/status/1065224473283084288","1065224473283084288")</f>
        <v>1065224473283084288</v>
      </c>
      <c r="F1336" s="12"/>
      <c r="G1336" s="11" t="s">
        <v>2067</v>
      </c>
      <c r="H1336" s="12"/>
      <c r="I1336" s="13">
        <v>185</v>
      </c>
      <c r="J1336" s="13">
        <v>325</v>
      </c>
      <c r="K1336" s="14" t="str">
        <f>HYPERLINK("https://studio.twitter.com","Media Studio")</f>
        <v>Media Studio</v>
      </c>
      <c r="L1336" s="13">
        <v>486503</v>
      </c>
      <c r="M1336" s="13">
        <v>93653</v>
      </c>
      <c r="N1336" s="13">
        <v>3318</v>
      </c>
      <c r="O1336" s="18" t="s">
        <v>36</v>
      </c>
      <c r="P1336" s="6">
        <v>39828.753460648149</v>
      </c>
      <c r="Q1336" s="16" t="s">
        <v>37</v>
      </c>
      <c r="R1336" s="17" t="s">
        <v>202</v>
      </c>
      <c r="S1336" s="11" t="s">
        <v>203</v>
      </c>
      <c r="T1336" s="12"/>
      <c r="U1336" s="10" t="str">
        <f>HYPERLINK("https://pbs.twimg.com/profile_images/1053554096161075200/1z77_zBZ.jpg","View")</f>
        <v>View</v>
      </c>
    </row>
    <row r="1337" spans="1:21" ht="61.2">
      <c r="A1337" s="6">
        <v>43425.572210648148</v>
      </c>
      <c r="B1337" s="7" t="str">
        <f>HYPERLINK("https://twitter.com/Mediagua","@Mediagua")</f>
        <v>@Mediagua</v>
      </c>
      <c r="C1337" s="8" t="s">
        <v>3259</v>
      </c>
      <c r="D1337" s="9" t="s">
        <v>3260</v>
      </c>
      <c r="E1337" s="10" t="str">
        <f>HYPERLINK("https://twitter.com/Mediagua/status/1065224303921246208","1065224303921246208")</f>
        <v>1065224303921246208</v>
      </c>
      <c r="F1337" s="12"/>
      <c r="G1337" s="12"/>
      <c r="H1337" s="12"/>
      <c r="I1337" s="13">
        <v>0</v>
      </c>
      <c r="J1337" s="13">
        <v>1</v>
      </c>
      <c r="K1337" s="14" t="str">
        <f t="shared" ref="K1337:K1339" si="273">HYPERLINK("http://twitter.com","Twitter Web Client")</f>
        <v>Twitter Web Client</v>
      </c>
      <c r="L1337" s="13">
        <v>514</v>
      </c>
      <c r="M1337" s="13">
        <v>497</v>
      </c>
      <c r="N1337" s="13">
        <v>7</v>
      </c>
      <c r="O1337" s="15"/>
      <c r="P1337" s="6">
        <v>42237.538784722223</v>
      </c>
      <c r="Q1337" s="16" t="s">
        <v>3261</v>
      </c>
      <c r="R1337" s="19"/>
      <c r="S1337" s="12"/>
      <c r="T1337" s="12"/>
      <c r="U1337" s="10" t="str">
        <f>HYPERLINK("https://pbs.twimg.com/profile_images/634680532404707328/PDaGkIJ0.jpg","View")</f>
        <v>View</v>
      </c>
    </row>
    <row r="1338" spans="1:21" ht="40.799999999999997">
      <c r="A1338" s="6">
        <v>43425.572175925925</v>
      </c>
      <c r="B1338" s="7" t="str">
        <f>HYPERLINK("https://twitter.com/juanortiz076","@juanortiz076")</f>
        <v>@juanortiz076</v>
      </c>
      <c r="C1338" s="8" t="s">
        <v>1209</v>
      </c>
      <c r="D1338" s="9" t="s">
        <v>6367</v>
      </c>
      <c r="E1338" s="10" t="str">
        <f>HYPERLINK("https://twitter.com/juanortiz076/status/1065224290042294273","1065224290042294273")</f>
        <v>1065224290042294273</v>
      </c>
      <c r="F1338" s="11" t="s">
        <v>6368</v>
      </c>
      <c r="G1338" s="12"/>
      <c r="H1338" s="12"/>
      <c r="I1338" s="13">
        <v>0</v>
      </c>
      <c r="J1338" s="13">
        <v>0</v>
      </c>
      <c r="K1338" s="14" t="str">
        <f t="shared" si="273"/>
        <v>Twitter Web Client</v>
      </c>
      <c r="L1338" s="13">
        <v>3818</v>
      </c>
      <c r="M1338" s="13">
        <v>3796</v>
      </c>
      <c r="N1338" s="13">
        <v>14</v>
      </c>
      <c r="O1338" s="15"/>
      <c r="P1338" s="6">
        <v>42159.128587962958</v>
      </c>
      <c r="Q1338" s="16" t="s">
        <v>1214</v>
      </c>
      <c r="R1338" s="17" t="s">
        <v>1215</v>
      </c>
      <c r="S1338" s="12"/>
      <c r="T1338" s="12"/>
      <c r="U1338" s="10" t="str">
        <f>HYPERLINK("https://pbs.twimg.com/profile_images/1040108619843489794/3N6Z4LBp.jpg","View")</f>
        <v>View</v>
      </c>
    </row>
    <row r="1339" spans="1:21" ht="40.799999999999997">
      <c r="A1339" s="6">
        <v>43425.569212962961</v>
      </c>
      <c r="B1339" s="7" t="str">
        <f>HYPERLINK("https://twitter.com/LiberecoPress","@LiberecoPress")</f>
        <v>@LiberecoPress</v>
      </c>
      <c r="C1339" s="8" t="s">
        <v>3262</v>
      </c>
      <c r="D1339" s="9" t="s">
        <v>3263</v>
      </c>
      <c r="E1339" s="10" t="str">
        <f>HYPERLINK("https://twitter.com/LiberecoPress/status/1065223215293898752","1065223215293898752")</f>
        <v>1065223215293898752</v>
      </c>
      <c r="F1339" s="12"/>
      <c r="G1339" s="11" t="s">
        <v>3264</v>
      </c>
      <c r="H1339" s="12"/>
      <c r="I1339" s="13">
        <v>6</v>
      </c>
      <c r="J1339" s="13">
        <v>12</v>
      </c>
      <c r="K1339" s="14" t="str">
        <f t="shared" si="273"/>
        <v>Twitter Web Client</v>
      </c>
      <c r="L1339" s="13">
        <v>173</v>
      </c>
      <c r="M1339" s="13">
        <v>78</v>
      </c>
      <c r="N1339" s="13">
        <v>21</v>
      </c>
      <c r="O1339" s="15"/>
      <c r="P1339" s="6">
        <v>43360.703877314816</v>
      </c>
      <c r="Q1339" s="16" t="s">
        <v>118</v>
      </c>
      <c r="R1339" s="17" t="s">
        <v>3265</v>
      </c>
      <c r="S1339" s="11" t="s">
        <v>3266</v>
      </c>
      <c r="T1339" s="12"/>
      <c r="U1339" s="10" t="str">
        <f>HYPERLINK("https://pbs.twimg.com/profile_images/1041733360018702336/w8d6RkHi.jpg","View")</f>
        <v>View</v>
      </c>
    </row>
    <row r="1340" spans="1:21" ht="51">
      <c r="A1340" s="6">
        <v>43425.56726851852</v>
      </c>
      <c r="B1340" s="7" t="str">
        <f>HYPERLINK("https://twitter.com/AdrianBarbon","@AdrianBarbon")</f>
        <v>@AdrianBarbon</v>
      </c>
      <c r="C1340" s="8" t="s">
        <v>6146</v>
      </c>
      <c r="D1340" s="9" t="s">
        <v>6369</v>
      </c>
      <c r="E1340" s="10" t="str">
        <f>HYPERLINK("https://twitter.com/AdrianBarbon/status/1065222512890523648","1065222512890523648")</f>
        <v>1065222512890523648</v>
      </c>
      <c r="F1340" s="16" t="s">
        <v>733</v>
      </c>
      <c r="G1340" s="11" t="s">
        <v>65</v>
      </c>
      <c r="H1340" s="12"/>
      <c r="I1340" s="13">
        <v>43</v>
      </c>
      <c r="J1340" s="13">
        <v>54</v>
      </c>
      <c r="K1340" s="14" t="str">
        <f>HYPERLINK("http://twitter.com/download/iphone","Twitter for iPhone")</f>
        <v>Twitter for iPhone</v>
      </c>
      <c r="L1340" s="13">
        <v>4516</v>
      </c>
      <c r="M1340" s="13">
        <v>1809</v>
      </c>
      <c r="N1340" s="13">
        <v>67</v>
      </c>
      <c r="O1340" s="18" t="s">
        <v>36</v>
      </c>
      <c r="P1340" s="6">
        <v>40484.83079861111</v>
      </c>
      <c r="Q1340" s="16" t="s">
        <v>6148</v>
      </c>
      <c r="R1340" s="17" t="s">
        <v>6149</v>
      </c>
      <c r="S1340" s="11" t="s">
        <v>6150</v>
      </c>
      <c r="T1340" s="12"/>
      <c r="U1340" s="10" t="str">
        <f>HYPERLINK("https://pbs.twimg.com/profile_images/1063506560608026624/nxSWHSzk.jpg","View")</f>
        <v>View</v>
      </c>
    </row>
    <row r="1341" spans="1:21" ht="20.399999999999999">
      <c r="A1341" s="6">
        <v>43425.566481481481</v>
      </c>
      <c r="B1341" s="7" t="str">
        <f>HYPERLINK("https://twitter.com/JaviiJavitxu","@JaviiJavitxu")</f>
        <v>@JaviiJavitxu</v>
      </c>
      <c r="C1341" s="8" t="s">
        <v>6370</v>
      </c>
      <c r="D1341" s="9" t="s">
        <v>6371</v>
      </c>
      <c r="E1341" s="10" t="str">
        <f>HYPERLINK("https://twitter.com/JaviiJavitxu/status/1065222227380056066","1065222227380056066")</f>
        <v>1065222227380056066</v>
      </c>
      <c r="F1341" s="12"/>
      <c r="G1341" s="12"/>
      <c r="H1341" s="12"/>
      <c r="I1341" s="13">
        <v>0</v>
      </c>
      <c r="J1341" s="13">
        <v>2</v>
      </c>
      <c r="K1341" s="14" t="str">
        <f t="shared" ref="K1341:K1342" si="274">HYPERLINK("http://twitter.com/download/android","Twitter for Android")</f>
        <v>Twitter for Android</v>
      </c>
      <c r="L1341" s="13">
        <v>247</v>
      </c>
      <c r="M1341" s="13">
        <v>380</v>
      </c>
      <c r="N1341" s="13">
        <v>5</v>
      </c>
      <c r="O1341" s="15"/>
      <c r="P1341" s="6">
        <v>40904.976701388892</v>
      </c>
      <c r="Q1341" s="16" t="s">
        <v>6372</v>
      </c>
      <c r="R1341" s="17" t="s">
        <v>6374</v>
      </c>
      <c r="S1341" s="12"/>
      <c r="T1341" s="12"/>
      <c r="U1341" s="10" t="str">
        <f>HYPERLINK("https://pbs.twimg.com/profile_images/917490777084907520/5pT82xDe.jpg","View")</f>
        <v>View</v>
      </c>
    </row>
    <row r="1342" spans="1:21" ht="61.2">
      <c r="A1342" s="6">
        <v>43425.56527777778</v>
      </c>
      <c r="B1342" s="7" t="str">
        <f>HYPERLINK("https://twitter.com/martiparIade","@martiparIade")</f>
        <v>@martiparIade</v>
      </c>
      <c r="C1342" s="8" t="s">
        <v>3267</v>
      </c>
      <c r="D1342" s="9" t="s">
        <v>3268</v>
      </c>
      <c r="E1342" s="10" t="str">
        <f>HYPERLINK("https://twitter.com/martiparIade/status/1065221792581787648","1065221792581787648")</f>
        <v>1065221792581787648</v>
      </c>
      <c r="F1342" s="16" t="s">
        <v>1776</v>
      </c>
      <c r="G1342" s="12"/>
      <c r="H1342" s="12"/>
      <c r="I1342" s="13">
        <v>2</v>
      </c>
      <c r="J1342" s="13">
        <v>2</v>
      </c>
      <c r="K1342" s="14" t="str">
        <f t="shared" si="274"/>
        <v>Twitter for Android</v>
      </c>
      <c r="L1342" s="13">
        <v>65</v>
      </c>
      <c r="M1342" s="13">
        <v>379</v>
      </c>
      <c r="N1342" s="13">
        <v>0</v>
      </c>
      <c r="O1342" s="15"/>
      <c r="P1342" s="6">
        <v>42295.619525462964</v>
      </c>
      <c r="Q1342" s="16" t="s">
        <v>3271</v>
      </c>
      <c r="R1342" s="17" t="s">
        <v>3272</v>
      </c>
      <c r="S1342" s="11" t="s">
        <v>3273</v>
      </c>
      <c r="T1342" s="12"/>
      <c r="U1342" s="10" t="str">
        <f>HYPERLINK("https://pbs.twimg.com/profile_images/1051951263032758273/8y2klqnz.jpg","View")</f>
        <v>View</v>
      </c>
    </row>
    <row r="1343" spans="1:21" ht="30.6">
      <c r="A1343" s="6">
        <v>43425.563993055555</v>
      </c>
      <c r="B1343" s="7" t="str">
        <f>HYPERLINK("https://twitter.com/fsoriag","@fsoriag")</f>
        <v>@fsoriag</v>
      </c>
      <c r="C1343" s="8" t="s">
        <v>6377</v>
      </c>
      <c r="D1343" s="9" t="s">
        <v>6378</v>
      </c>
      <c r="E1343" s="10" t="str">
        <f>HYPERLINK("https://twitter.com/fsoriag/status/1065221324736483328","1065221324736483328")</f>
        <v>1065221324736483328</v>
      </c>
      <c r="F1343" s="11" t="s">
        <v>1700</v>
      </c>
      <c r="G1343" s="11" t="s">
        <v>6379</v>
      </c>
      <c r="H1343" s="12"/>
      <c r="I1343" s="13">
        <v>0</v>
      </c>
      <c r="J1343" s="13">
        <v>0</v>
      </c>
      <c r="K1343" s="14" t="str">
        <f>HYPERLINK("http://twitter.com","Twitter Web Client")</f>
        <v>Twitter Web Client</v>
      </c>
      <c r="L1343" s="13">
        <v>1512</v>
      </c>
      <c r="M1343" s="13">
        <v>154</v>
      </c>
      <c r="N1343" s="13">
        <v>114</v>
      </c>
      <c r="O1343" s="15"/>
      <c r="P1343" s="6">
        <v>41350.992754629631</v>
      </c>
      <c r="Q1343" s="16" t="s">
        <v>6380</v>
      </c>
      <c r="R1343" s="17" t="s">
        <v>6381</v>
      </c>
      <c r="S1343" s="11" t="s">
        <v>6382</v>
      </c>
      <c r="T1343" s="12"/>
      <c r="U1343" s="10" t="str">
        <f>HYPERLINK("https://pbs.twimg.com/profile_images/877055673510637568/RsvquOBT.jpg","View")</f>
        <v>View</v>
      </c>
    </row>
    <row r="1344" spans="1:21" ht="40.799999999999997">
      <c r="A1344" s="6">
        <v>43425.562418981484</v>
      </c>
      <c r="B1344" s="7" t="str">
        <f>HYPERLINK("https://twitter.com/unicorntves","@unicorntves")</f>
        <v>@unicorntves</v>
      </c>
      <c r="C1344" s="8" t="s">
        <v>3274</v>
      </c>
      <c r="D1344" s="9" t="s">
        <v>3275</v>
      </c>
      <c r="E1344" s="10" t="str">
        <f>HYPERLINK("https://twitter.com/unicorntves/status/1065220754411855872","1065220754411855872")</f>
        <v>1065220754411855872</v>
      </c>
      <c r="F1344" s="12"/>
      <c r="G1344" s="12"/>
      <c r="H1344" s="12"/>
      <c r="I1344" s="13">
        <v>0</v>
      </c>
      <c r="J1344" s="13">
        <v>3</v>
      </c>
      <c r="K1344" s="14" t="str">
        <f>HYPERLINK("http://twitter.com/download/iphone","Twitter for iPhone")</f>
        <v>Twitter for iPhone</v>
      </c>
      <c r="L1344" s="13">
        <v>656</v>
      </c>
      <c r="M1344" s="13">
        <v>96</v>
      </c>
      <c r="N1344" s="13">
        <v>2</v>
      </c>
      <c r="O1344" s="15"/>
      <c r="P1344" s="6">
        <v>43071.704988425925</v>
      </c>
      <c r="Q1344" s="12"/>
      <c r="R1344" s="17" t="s">
        <v>3276</v>
      </c>
      <c r="S1344" s="11" t="s">
        <v>3277</v>
      </c>
      <c r="T1344" s="12"/>
      <c r="U1344" s="10" t="str">
        <f>HYPERLINK("https://pbs.twimg.com/profile_images/1047808458999910406/X2y37EY9.jpg","View")</f>
        <v>View</v>
      </c>
    </row>
    <row r="1345" spans="1:21" ht="20.399999999999999">
      <c r="A1345" s="6">
        <v>43425.561238425929</v>
      </c>
      <c r="B1345" s="7" t="str">
        <f>HYPERLINK("https://twitter.com/rafaelbalaguer7","@rafaelbalaguer7")</f>
        <v>@rafaelbalaguer7</v>
      </c>
      <c r="C1345" s="8" t="s">
        <v>6383</v>
      </c>
      <c r="D1345" s="9" t="s">
        <v>6367</v>
      </c>
      <c r="E1345" s="10" t="str">
        <f>HYPERLINK("https://twitter.com/rafaelbalaguer7/status/1065220327444279296","1065220327444279296")</f>
        <v>1065220327444279296</v>
      </c>
      <c r="F1345" s="11" t="s">
        <v>6368</v>
      </c>
      <c r="G1345" s="12"/>
      <c r="H1345" s="12"/>
      <c r="I1345" s="13">
        <v>0</v>
      </c>
      <c r="J1345" s="13">
        <v>0</v>
      </c>
      <c r="K1345" s="14" t="str">
        <f t="shared" ref="K1345:K1346" si="275">HYPERLINK("http://twitter.com","Twitter Web Client")</f>
        <v>Twitter Web Client</v>
      </c>
      <c r="L1345" s="13">
        <v>2467</v>
      </c>
      <c r="M1345" s="13">
        <v>2563</v>
      </c>
      <c r="N1345" s="13">
        <v>11</v>
      </c>
      <c r="O1345" s="15"/>
      <c r="P1345" s="6">
        <v>42244.710243055553</v>
      </c>
      <c r="Q1345" s="16" t="s">
        <v>6384</v>
      </c>
      <c r="R1345" s="17" t="s">
        <v>6385</v>
      </c>
      <c r="S1345" s="12"/>
      <c r="T1345" s="12"/>
      <c r="U1345" s="10" t="str">
        <f>HYPERLINK("https://pbs.twimg.com/profile_images/988782521973387264/4ki7Vu-I.jpg","View")</f>
        <v>View</v>
      </c>
    </row>
    <row r="1346" spans="1:21" ht="30.6">
      <c r="A1346" s="6">
        <v>43425.560069444444</v>
      </c>
      <c r="B1346" s="7" t="str">
        <f>HYPERLINK("https://twitter.com/mangelherrero","@mangelherrero")</f>
        <v>@mangelherrero</v>
      </c>
      <c r="C1346" s="8" t="s">
        <v>6386</v>
      </c>
      <c r="D1346" s="9" t="s">
        <v>6387</v>
      </c>
      <c r="E1346" s="10" t="str">
        <f>HYPERLINK("https://twitter.com/mangelherrero/status/1065219903425323008","1065219903425323008")</f>
        <v>1065219903425323008</v>
      </c>
      <c r="F1346" s="11" t="s">
        <v>1700</v>
      </c>
      <c r="G1346" s="12"/>
      <c r="H1346" s="12"/>
      <c r="I1346" s="13">
        <v>0</v>
      </c>
      <c r="J1346" s="13">
        <v>0</v>
      </c>
      <c r="K1346" s="14" t="str">
        <f t="shared" si="275"/>
        <v>Twitter Web Client</v>
      </c>
      <c r="L1346" s="13">
        <v>518</v>
      </c>
      <c r="M1346" s="13">
        <v>444</v>
      </c>
      <c r="N1346" s="13">
        <v>24</v>
      </c>
      <c r="O1346" s="15"/>
      <c r="P1346" s="6">
        <v>40106.727175925924</v>
      </c>
      <c r="Q1346" s="16" t="s">
        <v>6388</v>
      </c>
      <c r="R1346" s="17" t="s">
        <v>6389</v>
      </c>
      <c r="S1346" s="11" t="s">
        <v>6390</v>
      </c>
      <c r="T1346" s="12"/>
      <c r="U1346" s="10" t="str">
        <f>HYPERLINK("https://pbs.twimg.com/profile_images/458917991392890881/F_KNkuqM.jpeg","View")</f>
        <v>View</v>
      </c>
    </row>
    <row r="1347" spans="1:21" ht="40.799999999999997">
      <c r="A1347" s="6">
        <v>43425.559837962966</v>
      </c>
      <c r="B1347" s="7" t="str">
        <f>HYPERLINK("https://twitter.com/marinaLobL","@marinaLobL")</f>
        <v>@marinaLobL</v>
      </c>
      <c r="C1347" s="8" t="s">
        <v>5391</v>
      </c>
      <c r="D1347" s="9" t="s">
        <v>6391</v>
      </c>
      <c r="E1347" s="10" t="str">
        <f>HYPERLINK("https://twitter.com/marinaLobL/status/1065219820482936833","1065219820482936833")</f>
        <v>1065219820482936833</v>
      </c>
      <c r="F1347" s="12"/>
      <c r="G1347" s="12"/>
      <c r="H1347" s="12"/>
      <c r="I1347" s="13">
        <v>7768</v>
      </c>
      <c r="J1347" s="13">
        <v>17125</v>
      </c>
      <c r="K1347" s="14" t="str">
        <f>HYPERLINK("http://twitter.com/download/iphone","Twitter for iPhone")</f>
        <v>Twitter for iPhone</v>
      </c>
      <c r="L1347" s="13">
        <v>13642</v>
      </c>
      <c r="M1347" s="13">
        <v>1090</v>
      </c>
      <c r="N1347" s="13">
        <v>121</v>
      </c>
      <c r="O1347" s="15"/>
      <c r="P1347" s="6">
        <v>40821.759409722225</v>
      </c>
      <c r="Q1347" s="12"/>
      <c r="R1347" s="17" t="s">
        <v>5396</v>
      </c>
      <c r="S1347" s="12"/>
      <c r="T1347" s="12"/>
      <c r="U1347" s="10" t="str">
        <f>HYPERLINK("https://pbs.twimg.com/profile_images/1018954490999902208/c6BV1Tob.jpg","View")</f>
        <v>View</v>
      </c>
    </row>
    <row r="1348" spans="1:21" ht="40.799999999999997">
      <c r="A1348" s="6">
        <v>43425.557592592595</v>
      </c>
      <c r="B1348" s="7" t="str">
        <f>HYPERLINK("https://twitter.com/victorgarmar","@victorgarmar")</f>
        <v>@victorgarmar</v>
      </c>
      <c r="C1348" s="8" t="s">
        <v>3278</v>
      </c>
      <c r="D1348" s="9" t="s">
        <v>3279</v>
      </c>
      <c r="E1348" s="10" t="str">
        <f>HYPERLINK("https://twitter.com/victorgarmar/status/1065219006603423746","1065219006603423746")</f>
        <v>1065219006603423746</v>
      </c>
      <c r="F1348" s="12"/>
      <c r="G1348" s="12"/>
      <c r="H1348" s="12"/>
      <c r="I1348" s="13">
        <v>0</v>
      </c>
      <c r="J1348" s="13">
        <v>4</v>
      </c>
      <c r="K1348" s="14" t="str">
        <f>HYPERLINK("http://twitter.com","Twitter Web Client")</f>
        <v>Twitter Web Client</v>
      </c>
      <c r="L1348" s="13">
        <v>643</v>
      </c>
      <c r="M1348" s="13">
        <v>616</v>
      </c>
      <c r="N1348" s="13">
        <v>24</v>
      </c>
      <c r="O1348" s="15"/>
      <c r="P1348" s="6">
        <v>40237.591643518521</v>
      </c>
      <c r="Q1348" s="16" t="s">
        <v>118</v>
      </c>
      <c r="R1348" s="17" t="s">
        <v>3282</v>
      </c>
      <c r="S1348" s="12"/>
      <c r="T1348" s="12"/>
      <c r="U1348" s="10" t="str">
        <f>HYPERLINK("https://pbs.twimg.com/profile_images/1052675720823103493/wkc9_CfO.jpg","View")</f>
        <v>View</v>
      </c>
    </row>
    <row r="1349" spans="1:21" ht="30.6">
      <c r="A1349" s="6">
        <v>43425.557164351849</v>
      </c>
      <c r="B1349" s="7" t="str">
        <f>HYPERLINK("https://twitter.com/InformativosTM","@InformativosTM")</f>
        <v>@InformativosTM</v>
      </c>
      <c r="C1349" s="8" t="s">
        <v>3285</v>
      </c>
      <c r="D1349" s="9" t="s">
        <v>3286</v>
      </c>
      <c r="E1349" s="10" t="str">
        <f>HYPERLINK("https://twitter.com/InformativosTM/status/1065218850340438016","1065218850340438016")</f>
        <v>1065218850340438016</v>
      </c>
      <c r="F1349" s="11" t="s">
        <v>3287</v>
      </c>
      <c r="G1349" s="11" t="s">
        <v>3288</v>
      </c>
      <c r="H1349" s="12"/>
      <c r="I1349" s="13">
        <v>11</v>
      </c>
      <c r="J1349" s="13">
        <v>19</v>
      </c>
      <c r="K1349" s="14" t="str">
        <f>HYPERLINK("http://twitter.com/download/iphone","Twitter for iPhone")</f>
        <v>Twitter for iPhone</v>
      </c>
      <c r="L1349" s="13">
        <v>24914</v>
      </c>
      <c r="M1349" s="13">
        <v>514</v>
      </c>
      <c r="N1349" s="13">
        <v>537</v>
      </c>
      <c r="O1349" s="18" t="s">
        <v>36</v>
      </c>
      <c r="P1349" s="6">
        <v>40506.688622685186</v>
      </c>
      <c r="Q1349" s="16" t="s">
        <v>37</v>
      </c>
      <c r="R1349" s="17" t="s">
        <v>3291</v>
      </c>
      <c r="S1349" s="11" t="s">
        <v>3292</v>
      </c>
      <c r="T1349" s="12"/>
      <c r="U1349" s="10" t="str">
        <f>HYPERLINK("https://pbs.twimg.com/profile_images/909536698761203713/n8SDBokG.jpg","View")</f>
        <v>View</v>
      </c>
    </row>
    <row r="1350" spans="1:21" ht="20.399999999999999">
      <c r="A1350" s="6">
        <v>43425.557025462964</v>
      </c>
      <c r="B1350" s="7" t="str">
        <f>HYPERLINK("https://twitter.com/Agus_Martinez58","@Agus_Martinez58")</f>
        <v>@Agus_Martinez58</v>
      </c>
      <c r="C1350" s="8" t="s">
        <v>3295</v>
      </c>
      <c r="D1350" s="9" t="s">
        <v>3296</v>
      </c>
      <c r="E1350" s="10" t="str">
        <f>HYPERLINK("https://twitter.com/Agus_Martinez58/status/1065218802076520448","1065218802076520448")</f>
        <v>1065218802076520448</v>
      </c>
      <c r="F1350" s="11" t="s">
        <v>3297</v>
      </c>
      <c r="G1350" s="12"/>
      <c r="H1350" s="12"/>
      <c r="I1350" s="13">
        <v>32</v>
      </c>
      <c r="J1350" s="13">
        <v>30</v>
      </c>
      <c r="K1350" s="14" t="str">
        <f>HYPERLINK("http://twitter.com/download/android","Twitter for Android")</f>
        <v>Twitter for Android</v>
      </c>
      <c r="L1350" s="13">
        <v>72899</v>
      </c>
      <c r="M1350" s="13">
        <v>77617</v>
      </c>
      <c r="N1350" s="13">
        <v>736</v>
      </c>
      <c r="O1350" s="15"/>
      <c r="P1350" s="6">
        <v>40837.430879629632</v>
      </c>
      <c r="Q1350" s="12"/>
      <c r="R1350" s="17" t="s">
        <v>3299</v>
      </c>
      <c r="S1350" s="11" t="s">
        <v>3300</v>
      </c>
      <c r="T1350" s="12"/>
      <c r="U1350" s="10" t="str">
        <f>HYPERLINK("https://pbs.twimg.com/profile_images/566338784174698500/NsqtO7Us.png","View")</f>
        <v>View</v>
      </c>
    </row>
    <row r="1351" spans="1:21" ht="40.799999999999997">
      <c r="A1351" s="6">
        <v>43425.556145833332</v>
      </c>
      <c r="B1351" s="7" t="str">
        <f>HYPERLINK("https://twitter.com/120minutosTM","@120minutosTM")</f>
        <v>@120minutosTM</v>
      </c>
      <c r="C1351" s="8" t="s">
        <v>3069</v>
      </c>
      <c r="D1351" s="9" t="s">
        <v>3303</v>
      </c>
      <c r="E1351" s="10" t="str">
        <f>HYPERLINK("https://twitter.com/120minutosTM/status/1065218482265096192","1065218482265096192")</f>
        <v>1065218482265096192</v>
      </c>
      <c r="F1351" s="11" t="s">
        <v>3304</v>
      </c>
      <c r="G1351" s="11" t="s">
        <v>3305</v>
      </c>
      <c r="H1351" s="12"/>
      <c r="I1351" s="13">
        <v>0</v>
      </c>
      <c r="J1351" s="13">
        <v>1</v>
      </c>
      <c r="K1351" s="14" t="str">
        <f>HYPERLINK("http://dogtrack.es","DogTrack_Oficial")</f>
        <v>DogTrack_Oficial</v>
      </c>
      <c r="L1351" s="13">
        <v>1665</v>
      </c>
      <c r="M1351" s="13">
        <v>205</v>
      </c>
      <c r="N1351" s="13">
        <v>18</v>
      </c>
      <c r="O1351" s="15"/>
      <c r="P1351" s="6">
        <v>43129.453402777777</v>
      </c>
      <c r="Q1351" s="16" t="s">
        <v>118</v>
      </c>
      <c r="R1351" s="17" t="s">
        <v>3073</v>
      </c>
      <c r="S1351" s="11" t="s">
        <v>3074</v>
      </c>
      <c r="T1351" s="12"/>
      <c r="U1351" s="10" t="str">
        <f>HYPERLINK("https://pbs.twimg.com/profile_images/1008997691165200384/SMjhDWGJ.jpg","View")</f>
        <v>View</v>
      </c>
    </row>
    <row r="1352" spans="1:21" ht="30.6">
      <c r="A1352" s="6">
        <v>43425.555821759262</v>
      </c>
      <c r="B1352" s="7" t="str">
        <f>HYPERLINK("https://twitter.com/RogerGMar","@RogerGMar")</f>
        <v>@RogerGMar</v>
      </c>
      <c r="C1352" s="8" t="s">
        <v>6395</v>
      </c>
      <c r="D1352" s="9" t="s">
        <v>6396</v>
      </c>
      <c r="E1352" s="10" t="str">
        <f>HYPERLINK("https://twitter.com/RogerGMar/status/1065218366015774720","1065218366015774720")</f>
        <v>1065218366015774720</v>
      </c>
      <c r="F1352" s="12"/>
      <c r="G1352" s="12"/>
      <c r="H1352" s="12"/>
      <c r="I1352" s="13">
        <v>1</v>
      </c>
      <c r="J1352" s="13">
        <v>10</v>
      </c>
      <c r="K1352" s="14" t="str">
        <f t="shared" ref="K1352:K1353" si="276">HYPERLINK("http://twitter.com/download/android","Twitter for Android")</f>
        <v>Twitter for Android</v>
      </c>
      <c r="L1352" s="13">
        <v>334</v>
      </c>
      <c r="M1352" s="13">
        <v>460</v>
      </c>
      <c r="N1352" s="13">
        <v>6</v>
      </c>
      <c r="O1352" s="15"/>
      <c r="P1352" s="6">
        <v>41532.739965277782</v>
      </c>
      <c r="Q1352" s="16" t="s">
        <v>448</v>
      </c>
      <c r="R1352" s="17" t="s">
        <v>6397</v>
      </c>
      <c r="S1352" s="12"/>
      <c r="T1352" s="12"/>
      <c r="U1352" s="10" t="str">
        <f>HYPERLINK("https://pbs.twimg.com/profile_images/543373928849104896/aD-xRYgF.jpeg","View")</f>
        <v>View</v>
      </c>
    </row>
    <row r="1353" spans="1:21" ht="40.799999999999997">
      <c r="A1353" s="6">
        <v>43425.555729166663</v>
      </c>
      <c r="B1353" s="7" t="str">
        <f>HYPERLINK("https://twitter.com/7arias7","@7arias7")</f>
        <v>@7arias7</v>
      </c>
      <c r="C1353" s="8" t="s">
        <v>6398</v>
      </c>
      <c r="D1353" s="9" t="s">
        <v>6399</v>
      </c>
      <c r="E1353" s="10" t="str">
        <f>HYPERLINK("https://twitter.com/7arias7/status/1065218329353351168","1065218329353351168")</f>
        <v>1065218329353351168</v>
      </c>
      <c r="F1353" s="12"/>
      <c r="G1353" s="12"/>
      <c r="H1353" s="12"/>
      <c r="I1353" s="13">
        <v>0</v>
      </c>
      <c r="J1353" s="13">
        <v>0</v>
      </c>
      <c r="K1353" s="14" t="str">
        <f t="shared" si="276"/>
        <v>Twitter for Android</v>
      </c>
      <c r="L1353" s="13">
        <v>417</v>
      </c>
      <c r="M1353" s="13">
        <v>238</v>
      </c>
      <c r="N1353" s="13">
        <v>4</v>
      </c>
      <c r="O1353" s="15"/>
      <c r="P1353" s="6">
        <v>40610.523993055554</v>
      </c>
      <c r="Q1353" s="16" t="s">
        <v>6400</v>
      </c>
      <c r="R1353" s="17" t="s">
        <v>6401</v>
      </c>
      <c r="S1353" s="12"/>
      <c r="T1353" s="12"/>
      <c r="U1353" s="10" t="str">
        <f>HYPERLINK("https://pbs.twimg.com/profile_images/1057010389429428224/bc-RfZ0R.jpg","View")</f>
        <v>View</v>
      </c>
    </row>
    <row r="1354" spans="1:21" ht="30.6">
      <c r="A1354" s="6">
        <v>43425.555555555555</v>
      </c>
      <c r="B1354" s="7" t="str">
        <f>HYPERLINK("https://twitter.com/publico_es","@publico_es")</f>
        <v>@publico_es</v>
      </c>
      <c r="C1354" s="8" t="s">
        <v>2597</v>
      </c>
      <c r="D1354" s="9" t="s">
        <v>6402</v>
      </c>
      <c r="E1354" s="10" t="str">
        <f>HYPERLINK("https://twitter.com/publico_es/status/1065218267051102209","1065218267051102209")</f>
        <v>1065218267051102209</v>
      </c>
      <c r="F1354" s="11" t="s">
        <v>2078</v>
      </c>
      <c r="G1354" s="12"/>
      <c r="H1354" s="12"/>
      <c r="I1354" s="13">
        <v>25</v>
      </c>
      <c r="J1354" s="13">
        <v>54</v>
      </c>
      <c r="K1354" s="14" t="str">
        <f>HYPERLINK("https://about.twitter.com/products/tweetdeck","TweetDeck")</f>
        <v>TweetDeck</v>
      </c>
      <c r="L1354" s="13">
        <v>911012</v>
      </c>
      <c r="M1354" s="13">
        <v>1455</v>
      </c>
      <c r="N1354" s="13">
        <v>14825</v>
      </c>
      <c r="O1354" s="18" t="s">
        <v>36</v>
      </c>
      <c r="P1354" s="6">
        <v>39779.559525462959</v>
      </c>
      <c r="Q1354" s="16" t="s">
        <v>440</v>
      </c>
      <c r="R1354" s="17" t="s">
        <v>2602</v>
      </c>
      <c r="S1354" s="11" t="s">
        <v>2603</v>
      </c>
      <c r="T1354" s="12"/>
      <c r="U1354" s="10" t="str">
        <f>HYPERLINK("https://pbs.twimg.com/profile_images/1048242435682422786/FdzZWHU8.jpg","View")</f>
        <v>View</v>
      </c>
    </row>
    <row r="1355" spans="1:21" ht="51">
      <c r="A1355" s="6">
        <v>43425.553472222222</v>
      </c>
      <c r="B1355" s="7" t="str">
        <f>HYPERLINK("https://twitter.com/SirPatrickOC","@SirPatrickOC")</f>
        <v>@SirPatrickOC</v>
      </c>
      <c r="C1355" s="8" t="s">
        <v>3306</v>
      </c>
      <c r="D1355" s="9" t="s">
        <v>3307</v>
      </c>
      <c r="E1355" s="10" t="str">
        <f>HYPERLINK("https://twitter.com/SirPatrickOC/status/1065217512235769856","1065217512235769856")</f>
        <v>1065217512235769856</v>
      </c>
      <c r="F1355" s="12"/>
      <c r="G1355" s="12"/>
      <c r="H1355" s="12"/>
      <c r="I1355" s="13">
        <v>0</v>
      </c>
      <c r="J1355" s="13">
        <v>0</v>
      </c>
      <c r="K1355" s="14" t="str">
        <f t="shared" ref="K1355:K1356" si="277">HYPERLINK("http://twitter.com/download/android","Twitter for Android")</f>
        <v>Twitter for Android</v>
      </c>
      <c r="L1355" s="13">
        <v>370</v>
      </c>
      <c r="M1355" s="13">
        <v>306</v>
      </c>
      <c r="N1355" s="13">
        <v>13</v>
      </c>
      <c r="O1355" s="15"/>
      <c r="P1355" s="6">
        <v>40765.861134259263</v>
      </c>
      <c r="Q1355" s="12"/>
      <c r="R1355" s="17" t="s">
        <v>3309</v>
      </c>
      <c r="S1355" s="11" t="s">
        <v>3310</v>
      </c>
      <c r="T1355" s="12"/>
      <c r="U1355" s="10" t="str">
        <f>HYPERLINK("https://pbs.twimg.com/profile_images/930181969480245248/QI3Ys56H.jpg","View")</f>
        <v>View</v>
      </c>
    </row>
    <row r="1356" spans="1:21" ht="61.2">
      <c r="A1356" s="6">
        <v>43425.552754629629</v>
      </c>
      <c r="B1356" s="7" t="str">
        <f>HYPERLINK("https://twitter.com/santi544","@santi544")</f>
        <v>@santi544</v>
      </c>
      <c r="C1356" s="8" t="s">
        <v>3312</v>
      </c>
      <c r="D1356" s="9" t="s">
        <v>3313</v>
      </c>
      <c r="E1356" s="10" t="str">
        <f>HYPERLINK("https://twitter.com/santi544/status/1065217253703073792","1065217253703073792")</f>
        <v>1065217253703073792</v>
      </c>
      <c r="F1356" s="12"/>
      <c r="G1356" s="11" t="s">
        <v>3314</v>
      </c>
      <c r="H1356" s="12"/>
      <c r="I1356" s="13">
        <v>28</v>
      </c>
      <c r="J1356" s="13">
        <v>13</v>
      </c>
      <c r="K1356" s="14" t="str">
        <f t="shared" si="277"/>
        <v>Twitter for Android</v>
      </c>
      <c r="L1356" s="13">
        <v>219</v>
      </c>
      <c r="M1356" s="13">
        <v>231</v>
      </c>
      <c r="N1356" s="13">
        <v>0</v>
      </c>
      <c r="O1356" s="15"/>
      <c r="P1356" s="6">
        <v>40800.071655092594</v>
      </c>
      <c r="Q1356" s="12"/>
      <c r="R1356" s="17" t="s">
        <v>3316</v>
      </c>
      <c r="S1356" s="12"/>
      <c r="T1356" s="12"/>
      <c r="U1356" s="10" t="str">
        <f>HYPERLINK("https://pbs.twimg.com/profile_images/1061143141695283200/zcBGkMoQ.jpg","View")</f>
        <v>View</v>
      </c>
    </row>
    <row r="1357" spans="1:21" ht="30.6">
      <c r="A1357" s="6">
        <v>43425.552071759259</v>
      </c>
      <c r="B1357" s="7" t="str">
        <f>HYPERLINK("https://twitter.com/telemadrid","@telemadrid")</f>
        <v>@telemadrid</v>
      </c>
      <c r="C1357" s="8" t="s">
        <v>3318</v>
      </c>
      <c r="D1357" s="9" t="s">
        <v>3320</v>
      </c>
      <c r="E1357" s="10" t="str">
        <f>HYPERLINK("https://twitter.com/telemadrid/status/1065217003860959232","1065217003860959232")</f>
        <v>1065217003860959232</v>
      </c>
      <c r="F1357" s="11" t="s">
        <v>3287</v>
      </c>
      <c r="G1357" s="11" t="s">
        <v>3322</v>
      </c>
      <c r="H1357" s="12"/>
      <c r="I1357" s="13">
        <v>0</v>
      </c>
      <c r="J1357" s="13">
        <v>2</v>
      </c>
      <c r="K1357" s="14" t="str">
        <f>HYPERLINK("http://dogtrack.es","DogTrack_Oficial")</f>
        <v>DogTrack_Oficial</v>
      </c>
      <c r="L1357" s="13">
        <v>75413</v>
      </c>
      <c r="M1357" s="13">
        <v>23</v>
      </c>
      <c r="N1357" s="13">
        <v>1297</v>
      </c>
      <c r="O1357" s="18" t="s">
        <v>36</v>
      </c>
      <c r="P1357" s="6">
        <v>39918.718321759261</v>
      </c>
      <c r="Q1357" s="16" t="s">
        <v>3323</v>
      </c>
      <c r="R1357" s="17" t="s">
        <v>3324</v>
      </c>
      <c r="S1357" s="11" t="s">
        <v>3325</v>
      </c>
      <c r="T1357" s="12"/>
      <c r="U1357" s="10" t="str">
        <f>HYPERLINK("https://pbs.twimg.com/profile_images/971892668484734976/7hF5iQca.jpg","View")</f>
        <v>View</v>
      </c>
    </row>
    <row r="1358" spans="1:21" ht="40.799999999999997">
      <c r="A1358" s="6">
        <v>43425.550104166672</v>
      </c>
      <c r="B1358" s="7" t="str">
        <f>HYPERLINK("https://twitter.com/MegaManectric","@MegaManectric")</f>
        <v>@MegaManectric</v>
      </c>
      <c r="C1358" s="8" t="s">
        <v>6403</v>
      </c>
      <c r="D1358" s="9" t="s">
        <v>6404</v>
      </c>
      <c r="E1358" s="10" t="str">
        <f>HYPERLINK("https://twitter.com/MegaManectric/status/1065216292037238785","1065216292037238785")</f>
        <v>1065216292037238785</v>
      </c>
      <c r="F1358" s="11" t="s">
        <v>6405</v>
      </c>
      <c r="G1358" s="11" t="s">
        <v>6406</v>
      </c>
      <c r="H1358" s="12"/>
      <c r="I1358" s="13">
        <v>0</v>
      </c>
      <c r="J1358" s="13">
        <v>5</v>
      </c>
      <c r="K1358" s="14" t="str">
        <f t="shared" ref="K1358:K1360" si="278">HYPERLINK("http://twitter.com","Twitter Web Client")</f>
        <v>Twitter Web Client</v>
      </c>
      <c r="L1358" s="13">
        <v>794</v>
      </c>
      <c r="M1358" s="13">
        <v>394</v>
      </c>
      <c r="N1358" s="13">
        <v>26</v>
      </c>
      <c r="O1358" s="15"/>
      <c r="P1358" s="6">
        <v>41642.864768518521</v>
      </c>
      <c r="Q1358" s="16" t="s">
        <v>6407</v>
      </c>
      <c r="R1358" s="17" t="s">
        <v>6408</v>
      </c>
      <c r="S1358" s="12"/>
      <c r="T1358" s="12"/>
      <c r="U1358" s="10" t="str">
        <f>HYPERLINK("https://pbs.twimg.com/profile_images/1064190841068097536/YxlZFE68.jpg","View")</f>
        <v>View</v>
      </c>
    </row>
    <row r="1359" spans="1:21" ht="61.2">
      <c r="A1359" s="6">
        <v>43425.549895833334</v>
      </c>
      <c r="B1359" s="7" t="str">
        <f>HYPERLINK("https://twitter.com/peralvarezm","@peralvarezm")</f>
        <v>@peralvarezm</v>
      </c>
      <c r="C1359" s="8" t="s">
        <v>6409</v>
      </c>
      <c r="D1359" s="9" t="s">
        <v>6410</v>
      </c>
      <c r="E1359" s="10" t="str">
        <f>HYPERLINK("https://twitter.com/peralvarezm/status/1065216216636248064","1065216216636248064")</f>
        <v>1065216216636248064</v>
      </c>
      <c r="F1359" s="12"/>
      <c r="G1359" s="12"/>
      <c r="H1359" s="12"/>
      <c r="I1359" s="13">
        <v>2</v>
      </c>
      <c r="J1359" s="13">
        <v>5</v>
      </c>
      <c r="K1359" s="14" t="str">
        <f t="shared" si="278"/>
        <v>Twitter Web Client</v>
      </c>
      <c r="L1359" s="13">
        <v>399</v>
      </c>
      <c r="M1359" s="13">
        <v>466</v>
      </c>
      <c r="N1359" s="13">
        <v>21</v>
      </c>
      <c r="O1359" s="15"/>
      <c r="P1359" s="6">
        <v>42397.779456018514</v>
      </c>
      <c r="Q1359" s="16" t="s">
        <v>6411</v>
      </c>
      <c r="R1359" s="17" t="s">
        <v>6412</v>
      </c>
      <c r="S1359" s="12"/>
      <c r="T1359" s="12"/>
      <c r="U1359" s="10" t="str">
        <f>HYPERLINK("https://pbs.twimg.com/profile_images/692951720851283973/zbV39Ukr.jpg","View")</f>
        <v>View</v>
      </c>
    </row>
    <row r="1360" spans="1:21" ht="40.799999999999997">
      <c r="A1360" s="6">
        <v>43425.548078703709</v>
      </c>
      <c r="B1360" s="7" t="str">
        <f>HYPERLINK("https://twitter.com/MskRobert","@MskRobert")</f>
        <v>@MskRobert</v>
      </c>
      <c r="C1360" s="8" t="s">
        <v>6413</v>
      </c>
      <c r="D1360" s="9" t="s">
        <v>6414</v>
      </c>
      <c r="E1360" s="10" t="str">
        <f>HYPERLINK("https://twitter.com/MskRobert/status/1065215557421711362","1065215557421711362")</f>
        <v>1065215557421711362</v>
      </c>
      <c r="F1360" s="12"/>
      <c r="G1360" s="12"/>
      <c r="H1360" s="12"/>
      <c r="I1360" s="13">
        <v>0</v>
      </c>
      <c r="J1360" s="13">
        <v>4</v>
      </c>
      <c r="K1360" s="14" t="str">
        <f t="shared" si="278"/>
        <v>Twitter Web Client</v>
      </c>
      <c r="L1360" s="13">
        <v>391</v>
      </c>
      <c r="M1360" s="13">
        <v>285</v>
      </c>
      <c r="N1360" s="13">
        <v>2</v>
      </c>
      <c r="O1360" s="15"/>
      <c r="P1360" s="6">
        <v>41584.57640046296</v>
      </c>
      <c r="Q1360" s="12"/>
      <c r="R1360" s="17" t="s">
        <v>6415</v>
      </c>
      <c r="S1360" s="11" t="s">
        <v>6416</v>
      </c>
      <c r="T1360" s="12"/>
      <c r="U1360" s="10" t="str">
        <f>HYPERLINK("https://pbs.twimg.com/profile_images/1050845830956105733/SBwVV-BP.jpg","View")</f>
        <v>View</v>
      </c>
    </row>
    <row r="1361" spans="1:21" ht="20.399999999999999">
      <c r="A1361" s="6">
        <v>43425.547569444447</v>
      </c>
      <c r="B1361" s="7" t="str">
        <f>HYPERLINK("https://twitter.com/Tremending","@Tremending")</f>
        <v>@Tremending</v>
      </c>
      <c r="C1361" s="8" t="s">
        <v>1962</v>
      </c>
      <c r="D1361" s="9" t="s">
        <v>1963</v>
      </c>
      <c r="E1361" s="10" t="str">
        <f>HYPERLINK("https://twitter.com/Tremending/status/1065215372352258050","1065215372352258050")</f>
        <v>1065215372352258050</v>
      </c>
      <c r="F1361" s="11" t="s">
        <v>495</v>
      </c>
      <c r="G1361" s="11" t="s">
        <v>6103</v>
      </c>
      <c r="H1361" s="12"/>
      <c r="I1361" s="13">
        <v>39</v>
      </c>
      <c r="J1361" s="13">
        <v>28</v>
      </c>
      <c r="K1361" s="14" t="str">
        <f>HYPERLINK("https://about.twitter.com/products/tweetdeck","TweetDeck")</f>
        <v>TweetDeck</v>
      </c>
      <c r="L1361" s="13">
        <v>54663</v>
      </c>
      <c r="M1361" s="13">
        <v>4</v>
      </c>
      <c r="N1361" s="13">
        <v>522</v>
      </c>
      <c r="O1361" s="18" t="s">
        <v>36</v>
      </c>
      <c r="P1361" s="6">
        <v>41765.962523148148</v>
      </c>
      <c r="Q1361" s="16" t="s">
        <v>1967</v>
      </c>
      <c r="R1361" s="17" t="s">
        <v>1968</v>
      </c>
      <c r="S1361" s="11" t="s">
        <v>1969</v>
      </c>
      <c r="T1361" s="12"/>
      <c r="U1361" s="10" t="str">
        <f>HYPERLINK("https://pbs.twimg.com/profile_images/801030804914704384/GSMNihQ_.jpg","View")</f>
        <v>View</v>
      </c>
    </row>
    <row r="1362" spans="1:21" ht="40.799999999999997">
      <c r="A1362" s="6">
        <v>43425.547465277778</v>
      </c>
      <c r="B1362" s="7" t="str">
        <f>HYPERLINK("https://twitter.com/Asil_Vestra0","@Asil_Vestra0")</f>
        <v>@Asil_Vestra0</v>
      </c>
      <c r="C1362" s="8" t="s">
        <v>6417</v>
      </c>
      <c r="D1362" s="9" t="s">
        <v>6418</v>
      </c>
      <c r="E1362" s="10" t="str">
        <f>HYPERLINK("https://twitter.com/Asil_Vestra0/status/1065215334498607110","1065215334498607110")</f>
        <v>1065215334498607110</v>
      </c>
      <c r="F1362" s="12"/>
      <c r="G1362" s="11" t="s">
        <v>6419</v>
      </c>
      <c r="H1362" s="12"/>
      <c r="I1362" s="13">
        <v>9</v>
      </c>
      <c r="J1362" s="13">
        <v>10</v>
      </c>
      <c r="K1362" s="14" t="str">
        <f>HYPERLINK("http://twitter.com","Twitter Web Client")</f>
        <v>Twitter Web Client</v>
      </c>
      <c r="L1362" s="13">
        <v>21383</v>
      </c>
      <c r="M1362" s="13">
        <v>2603</v>
      </c>
      <c r="N1362" s="13">
        <v>216</v>
      </c>
      <c r="O1362" s="15"/>
      <c r="P1362" s="6">
        <v>40327.894571759258</v>
      </c>
      <c r="Q1362" s="16" t="s">
        <v>6420</v>
      </c>
      <c r="R1362" s="17" t="s">
        <v>6421</v>
      </c>
      <c r="S1362" s="11" t="s">
        <v>6422</v>
      </c>
      <c r="T1362" s="12"/>
      <c r="U1362" s="10" t="str">
        <f>HYPERLINK("https://pbs.twimg.com/profile_images/1017157477220175872/thAgQ9CN.jpg","View")</f>
        <v>View</v>
      </c>
    </row>
    <row r="1363" spans="1:21" ht="51">
      <c r="A1363" s="6">
        <v>43425.544062500005</v>
      </c>
      <c r="B1363" s="7" t="str">
        <f>HYPERLINK("https://twitter.com/Jorcaina01Jose","@Jorcaina01Jose")</f>
        <v>@Jorcaina01Jose</v>
      </c>
      <c r="C1363" s="8" t="s">
        <v>3326</v>
      </c>
      <c r="D1363" s="9" t="s">
        <v>3327</v>
      </c>
      <c r="E1363" s="10" t="str">
        <f>HYPERLINK("https://twitter.com/Jorcaina01Jose/status/1065214101725609985","1065214101725609985")</f>
        <v>1065214101725609985</v>
      </c>
      <c r="F1363" s="12"/>
      <c r="G1363" s="12"/>
      <c r="H1363" s="12"/>
      <c r="I1363" s="13">
        <v>0</v>
      </c>
      <c r="J1363" s="13">
        <v>0</v>
      </c>
      <c r="K1363" s="14" t="str">
        <f>HYPERLINK("http://twitter.com/download/android","Twitter for Android")</f>
        <v>Twitter for Android</v>
      </c>
      <c r="L1363" s="13">
        <v>33</v>
      </c>
      <c r="M1363" s="13">
        <v>256</v>
      </c>
      <c r="N1363" s="13">
        <v>0</v>
      </c>
      <c r="O1363" s="15"/>
      <c r="P1363" s="6">
        <v>41044.998726851853</v>
      </c>
      <c r="Q1363" s="16" t="s">
        <v>3328</v>
      </c>
      <c r="R1363" s="17" t="s">
        <v>3329</v>
      </c>
      <c r="S1363" s="12"/>
      <c r="T1363" s="12"/>
      <c r="U1363" s="10" t="str">
        <f>HYPERLINK("https://pbs.twimg.com/profile_images/873419941818621952/dFCZ_5XL.jpg","View")</f>
        <v>View</v>
      </c>
    </row>
    <row r="1364" spans="1:21" ht="40.799999999999997">
      <c r="A1364" s="6">
        <v>43425.54305555555</v>
      </c>
      <c r="B1364" s="7" t="str">
        <f>HYPERLINK("https://twitter.com/bitMomentum","@bitMomentum")</f>
        <v>@bitMomentum</v>
      </c>
      <c r="C1364" s="8" t="s">
        <v>706</v>
      </c>
      <c r="D1364" s="9" t="s">
        <v>3333</v>
      </c>
      <c r="E1364" s="10" t="str">
        <f>HYPERLINK("https://twitter.com/bitMomentum/status/1065213736582025217","1065213736582025217")</f>
        <v>1065213736582025217</v>
      </c>
      <c r="F1364" s="12"/>
      <c r="G1364" s="12"/>
      <c r="H1364" s="12"/>
      <c r="I1364" s="13">
        <v>0</v>
      </c>
      <c r="J1364" s="13">
        <v>0</v>
      </c>
      <c r="K1364" s="14" t="str">
        <f>HYPERLINK("http://www.bitmomentum.com","bitMomentum Bot")</f>
        <v>bitMomentum Bot</v>
      </c>
      <c r="L1364" s="13">
        <v>10132</v>
      </c>
      <c r="M1364" s="13">
        <v>1060</v>
      </c>
      <c r="N1364" s="13">
        <v>262</v>
      </c>
      <c r="O1364" s="15"/>
      <c r="P1364" s="6">
        <v>41608.667511574073</v>
      </c>
      <c r="Q1364" s="12"/>
      <c r="R1364" s="17" t="s">
        <v>708</v>
      </c>
      <c r="S1364" s="11" t="s">
        <v>709</v>
      </c>
      <c r="T1364" s="12"/>
      <c r="U1364" s="10" t="str">
        <f>HYPERLINK("https://pbs.twimg.com/profile_images/378800000862185241/20ij2H3u.png","View")</f>
        <v>View</v>
      </c>
    </row>
    <row r="1365" spans="1:21" ht="81.599999999999994">
      <c r="A1365" s="6">
        <v>43425.542372685188</v>
      </c>
      <c r="B1365" s="7" t="str">
        <f>HYPERLINK("https://twitter.com/baezdhugo","@baezdhugo")</f>
        <v>@baezdhugo</v>
      </c>
      <c r="C1365" s="8" t="s">
        <v>3116</v>
      </c>
      <c r="D1365" s="9" t="s">
        <v>3337</v>
      </c>
      <c r="E1365" s="10" t="str">
        <f>HYPERLINK("https://twitter.com/baezdhugo/status/1065213490724569090","1065213490724569090")</f>
        <v>1065213490724569090</v>
      </c>
      <c r="F1365" s="16" t="s">
        <v>733</v>
      </c>
      <c r="G1365" s="11" t="s">
        <v>65</v>
      </c>
      <c r="H1365" s="12"/>
      <c r="I1365" s="13">
        <v>2</v>
      </c>
      <c r="J1365" s="13">
        <v>3</v>
      </c>
      <c r="K1365" s="14" t="str">
        <f>HYPERLINK("http://twitter.com/download/iphone","Twitter for iPhone")</f>
        <v>Twitter for iPhone</v>
      </c>
      <c r="L1365" s="13">
        <v>922</v>
      </c>
      <c r="M1365" s="13">
        <v>1921</v>
      </c>
      <c r="N1365" s="13">
        <v>9</v>
      </c>
      <c r="O1365" s="15"/>
      <c r="P1365" s="6">
        <v>40856.347094907411</v>
      </c>
      <c r="Q1365" s="16" t="s">
        <v>3119</v>
      </c>
      <c r="R1365" s="17" t="s">
        <v>3120</v>
      </c>
      <c r="S1365" s="12"/>
      <c r="T1365" s="12"/>
      <c r="U1365" s="10" t="str">
        <f>HYPERLINK("https://pbs.twimg.com/profile_images/1034198258338418690/OuR2blvw.jpg","View")</f>
        <v>View</v>
      </c>
    </row>
    <row r="1366" spans="1:21" ht="51">
      <c r="A1366" s="6">
        <v>43425.542361111111</v>
      </c>
      <c r="B1366" s="7" t="str">
        <f>HYPERLINK("https://twitter.com/bitMomentum","@bitMomentum")</f>
        <v>@bitMomentum</v>
      </c>
      <c r="C1366" s="8" t="s">
        <v>706</v>
      </c>
      <c r="D1366" s="9" t="s">
        <v>3338</v>
      </c>
      <c r="E1366" s="10" t="str">
        <f>HYPERLINK("https://twitter.com/bitMomentum/status/1065213485020323840","1065213485020323840")</f>
        <v>1065213485020323840</v>
      </c>
      <c r="F1366" s="12"/>
      <c r="G1366" s="12"/>
      <c r="H1366" s="12"/>
      <c r="I1366" s="13">
        <v>0</v>
      </c>
      <c r="J1366" s="13">
        <v>1</v>
      </c>
      <c r="K1366" s="14" t="str">
        <f>HYPERLINK("http://www.bitmomentum.com","bitMomentum Bot")</f>
        <v>bitMomentum Bot</v>
      </c>
      <c r="L1366" s="13">
        <v>10132</v>
      </c>
      <c r="M1366" s="13">
        <v>1060</v>
      </c>
      <c r="N1366" s="13">
        <v>262</v>
      </c>
      <c r="O1366" s="15"/>
      <c r="P1366" s="6">
        <v>41608.667511574073</v>
      </c>
      <c r="Q1366" s="12"/>
      <c r="R1366" s="17" t="s">
        <v>708</v>
      </c>
      <c r="S1366" s="11" t="s">
        <v>709</v>
      </c>
      <c r="T1366" s="12"/>
      <c r="U1366" s="10" t="str">
        <f>HYPERLINK("https://pbs.twimg.com/profile_images/378800000862185241/20ij2H3u.png","View")</f>
        <v>View</v>
      </c>
    </row>
    <row r="1367" spans="1:21" ht="30.6">
      <c r="A1367" s="6">
        <v>43425.542245370365</v>
      </c>
      <c r="B1367" s="7" t="str">
        <f>HYPERLINK("https://twitter.com/CiudadanosCs","@CiudadanosCs")</f>
        <v>@CiudadanosCs</v>
      </c>
      <c r="C1367" s="8" t="s">
        <v>196</v>
      </c>
      <c r="D1367" s="9" t="s">
        <v>3342</v>
      </c>
      <c r="E1367" s="10" t="str">
        <f>HYPERLINK("https://twitter.com/CiudadanosCs/status/1065213445623173121","1065213445623173121")</f>
        <v>1065213445623173121</v>
      </c>
      <c r="F1367" s="11" t="s">
        <v>3287</v>
      </c>
      <c r="G1367" s="11" t="s">
        <v>3345</v>
      </c>
      <c r="H1367" s="12"/>
      <c r="I1367" s="13">
        <v>11</v>
      </c>
      <c r="J1367" s="13">
        <v>15</v>
      </c>
      <c r="K1367" s="14" t="str">
        <f t="shared" ref="K1367:K1368" si="279">HYPERLINK("http://twitter.com","Twitter Web Client")</f>
        <v>Twitter Web Client</v>
      </c>
      <c r="L1367" s="13">
        <v>486503</v>
      </c>
      <c r="M1367" s="13">
        <v>93653</v>
      </c>
      <c r="N1367" s="13">
        <v>3318</v>
      </c>
      <c r="O1367" s="18" t="s">
        <v>36</v>
      </c>
      <c r="P1367" s="6">
        <v>39828.753460648149</v>
      </c>
      <c r="Q1367" s="16" t="s">
        <v>37</v>
      </c>
      <c r="R1367" s="17" t="s">
        <v>202</v>
      </c>
      <c r="S1367" s="11" t="s">
        <v>203</v>
      </c>
      <c r="T1367" s="12"/>
      <c r="U1367" s="10" t="str">
        <f>HYPERLINK("https://pbs.twimg.com/profile_images/1053554096161075200/1z77_zBZ.jpg","View")</f>
        <v>View</v>
      </c>
    </row>
    <row r="1368" spans="1:21" ht="30.6">
      <c r="A1368" s="6">
        <v>43425.541701388887</v>
      </c>
      <c r="B1368" s="7" t="str">
        <f>HYPERLINK("https://twitter.com/dgonzalezvil","@dgonzalezvil")</f>
        <v>@dgonzalezvil</v>
      </c>
      <c r="C1368" s="8" t="s">
        <v>6423</v>
      </c>
      <c r="D1368" s="9" t="s">
        <v>6424</v>
      </c>
      <c r="E1368" s="10" t="str">
        <f>HYPERLINK("https://twitter.com/dgonzalezvil/status/1065213246779596800","1065213246779596800")</f>
        <v>1065213246779596800</v>
      </c>
      <c r="F1368" s="12"/>
      <c r="G1368" s="12"/>
      <c r="H1368" s="12"/>
      <c r="I1368" s="13">
        <v>12</v>
      </c>
      <c r="J1368" s="13">
        <v>67</v>
      </c>
      <c r="K1368" s="14" t="str">
        <f t="shared" si="279"/>
        <v>Twitter Web Client</v>
      </c>
      <c r="L1368" s="13">
        <v>993</v>
      </c>
      <c r="M1368" s="13">
        <v>548</v>
      </c>
      <c r="N1368" s="13">
        <v>14</v>
      </c>
      <c r="O1368" s="15"/>
      <c r="P1368" s="6">
        <v>42696.868217592593</v>
      </c>
      <c r="Q1368" s="16" t="s">
        <v>207</v>
      </c>
      <c r="R1368" s="17" t="s">
        <v>6425</v>
      </c>
      <c r="S1368" s="12"/>
      <c r="T1368" s="12"/>
      <c r="U1368" s="10" t="str">
        <f>HYPERLINK("https://pbs.twimg.com/profile_images/1029014894040031232/LCNhj-so.jpg","View")</f>
        <v>View</v>
      </c>
    </row>
    <row r="1369" spans="1:21" ht="61.2">
      <c r="A1369" s="6">
        <v>43425.540763888886</v>
      </c>
      <c r="B1369" s="7" t="str">
        <f>HYPERLINK("https://twitter.com/DanyBesteiro","@DanyBesteiro")</f>
        <v>@DanyBesteiro</v>
      </c>
      <c r="C1369" s="8" t="s">
        <v>3346</v>
      </c>
      <c r="D1369" s="9" t="s">
        <v>3347</v>
      </c>
      <c r="E1369" s="10" t="str">
        <f>HYPERLINK("https://twitter.com/DanyBesteiro/status/1065212906231484421","1065212906231484421")</f>
        <v>1065212906231484421</v>
      </c>
      <c r="F1369" s="16" t="s">
        <v>64</v>
      </c>
      <c r="G1369" s="11" t="s">
        <v>65</v>
      </c>
      <c r="H1369" s="12"/>
      <c r="I1369" s="13">
        <v>0</v>
      </c>
      <c r="J1369" s="13">
        <v>2</v>
      </c>
      <c r="K1369" s="14" t="str">
        <f>HYPERLINK("http://twitter.com/download/iphone","Twitter for iPhone")</f>
        <v>Twitter for iPhone</v>
      </c>
      <c r="L1369" s="13">
        <v>1424</v>
      </c>
      <c r="M1369" s="13">
        <v>685</v>
      </c>
      <c r="N1369" s="13">
        <v>23</v>
      </c>
      <c r="O1369" s="15"/>
      <c r="P1369" s="6">
        <v>40105.133622685185</v>
      </c>
      <c r="Q1369" s="16" t="s">
        <v>68</v>
      </c>
      <c r="R1369" s="17" t="s">
        <v>3348</v>
      </c>
      <c r="S1369" s="12"/>
      <c r="T1369" s="12"/>
      <c r="U1369" s="10" t="str">
        <f>HYPERLINK("https://pbs.twimg.com/profile_images/779703451303411712/vw04isaD.jpg","View")</f>
        <v>View</v>
      </c>
    </row>
    <row r="1370" spans="1:21" ht="40.799999999999997">
      <c r="A1370" s="6">
        <v>43425.540034722224</v>
      </c>
      <c r="B1370" s="7" t="str">
        <f>HYPERLINK("https://twitter.com/CuadernosTM","@CuadernosTM")</f>
        <v>@CuadernosTM</v>
      </c>
      <c r="C1370" s="8" t="s">
        <v>3349</v>
      </c>
      <c r="D1370" s="9" t="s">
        <v>3350</v>
      </c>
      <c r="E1370" s="10" t="str">
        <f>HYPERLINK("https://twitter.com/CuadernosTM/status/1065212642745376768","1065212642745376768")</f>
        <v>1065212642745376768</v>
      </c>
      <c r="F1370" s="11" t="s">
        <v>3351</v>
      </c>
      <c r="G1370" s="11" t="s">
        <v>3352</v>
      </c>
      <c r="H1370" s="12"/>
      <c r="I1370" s="13">
        <v>5</v>
      </c>
      <c r="J1370" s="13">
        <v>9</v>
      </c>
      <c r="K1370" s="14" t="str">
        <f t="shared" ref="K1370:K1371" si="280">HYPERLINK("http://twitter.com","Twitter Web Client")</f>
        <v>Twitter Web Client</v>
      </c>
      <c r="L1370" s="13">
        <v>9189</v>
      </c>
      <c r="M1370" s="13">
        <v>1445</v>
      </c>
      <c r="N1370" s="13">
        <v>78</v>
      </c>
      <c r="O1370" s="15"/>
      <c r="P1370" s="6">
        <v>40624.810613425929</v>
      </c>
      <c r="Q1370" s="16" t="s">
        <v>37</v>
      </c>
      <c r="R1370" s="17" t="s">
        <v>3354</v>
      </c>
      <c r="S1370" s="11" t="s">
        <v>3355</v>
      </c>
      <c r="T1370" s="12"/>
      <c r="U1370" s="10" t="str">
        <f>HYPERLINK("https://pbs.twimg.com/profile_images/1022475168566992896/KD9CQ6Da.jpg","View")</f>
        <v>View</v>
      </c>
    </row>
    <row r="1371" spans="1:21" ht="20.399999999999999">
      <c r="A1371" s="6">
        <v>43425.537939814814</v>
      </c>
      <c r="B1371" s="7" t="str">
        <f>HYPERLINK("https://twitter.com/ecorepublicano","@ecorepublicano")</f>
        <v>@ecorepublicano</v>
      </c>
      <c r="C1371" s="8" t="s">
        <v>6426</v>
      </c>
      <c r="D1371" s="9" t="s">
        <v>4552</v>
      </c>
      <c r="E1371" s="10" t="str">
        <f>HYPERLINK("https://twitter.com/ecorepublicano/status/1065211885409247234","1065211885409247234")</f>
        <v>1065211885409247234</v>
      </c>
      <c r="F1371" s="11" t="s">
        <v>4555</v>
      </c>
      <c r="G1371" s="11" t="s">
        <v>6427</v>
      </c>
      <c r="H1371" s="12"/>
      <c r="I1371" s="13">
        <v>21</v>
      </c>
      <c r="J1371" s="13">
        <v>34</v>
      </c>
      <c r="K1371" s="14" t="str">
        <f t="shared" si="280"/>
        <v>Twitter Web Client</v>
      </c>
      <c r="L1371" s="13">
        <v>174609</v>
      </c>
      <c r="M1371" s="13">
        <v>93442</v>
      </c>
      <c r="N1371" s="13">
        <v>843</v>
      </c>
      <c r="O1371" s="15"/>
      <c r="P1371" s="6">
        <v>40686.565243055556</v>
      </c>
      <c r="Q1371" s="16" t="s">
        <v>37</v>
      </c>
      <c r="R1371" s="17" t="s">
        <v>6429</v>
      </c>
      <c r="S1371" s="11" t="s">
        <v>6430</v>
      </c>
      <c r="T1371" s="12"/>
      <c r="U1371" s="10" t="str">
        <f>HYPERLINK("https://pbs.twimg.com/profile_images/1017891325029572608/lFqOkfFM.jpg","View")</f>
        <v>View</v>
      </c>
    </row>
    <row r="1372" spans="1:21" ht="40.799999999999997">
      <c r="A1372" s="6">
        <v>43425.535775462966</v>
      </c>
      <c r="B1372" s="7" t="str">
        <f>HYPERLINK("https://twitter.com/antonimanchado","@antonimanchado")</f>
        <v>@antonimanchado</v>
      </c>
      <c r="C1372" s="8" t="s">
        <v>1960</v>
      </c>
      <c r="D1372" s="9" t="s">
        <v>3359</v>
      </c>
      <c r="E1372" s="10" t="str">
        <f>HYPERLINK("https://twitter.com/antonimanchado/status/1065211098574532609","1065211098574532609")</f>
        <v>1065211098574532609</v>
      </c>
      <c r="F1372" s="12"/>
      <c r="G1372" s="12"/>
      <c r="H1372" s="12"/>
      <c r="I1372" s="13">
        <v>0</v>
      </c>
      <c r="J1372" s="13">
        <v>2</v>
      </c>
      <c r="K1372" s="14" t="str">
        <f t="shared" ref="K1372:K1374" si="281">HYPERLINK("http://twitter.com/download/android","Twitter for Android")</f>
        <v>Twitter for Android</v>
      </c>
      <c r="L1372" s="13">
        <v>3873</v>
      </c>
      <c r="M1372" s="13">
        <v>2578</v>
      </c>
      <c r="N1372" s="13">
        <v>303</v>
      </c>
      <c r="O1372" s="15"/>
      <c r="P1372" s="6">
        <v>39636.017685185187</v>
      </c>
      <c r="Q1372" s="16" t="s">
        <v>1964</v>
      </c>
      <c r="R1372" s="17" t="s">
        <v>1965</v>
      </c>
      <c r="S1372" s="11" t="s">
        <v>1966</v>
      </c>
      <c r="T1372" s="12"/>
      <c r="U1372" s="10" t="str">
        <f>HYPERLINK("https://pbs.twimg.com/profile_images/1053334789795860486/eBFAiwak.jpg","View")</f>
        <v>View</v>
      </c>
    </row>
    <row r="1373" spans="1:21" ht="30.6">
      <c r="A1373" s="6">
        <v>43425.535416666666</v>
      </c>
      <c r="B1373" s="7" t="str">
        <f>HYPERLINK("https://twitter.com/FranAM1979","@FranAM1979")</f>
        <v>@FranAM1979</v>
      </c>
      <c r="C1373" s="8" t="s">
        <v>3361</v>
      </c>
      <c r="D1373" s="9" t="s">
        <v>3362</v>
      </c>
      <c r="E1373" s="10" t="str">
        <f>HYPERLINK("https://twitter.com/FranAM1979/status/1065210968920260608","1065210968920260608")</f>
        <v>1065210968920260608</v>
      </c>
      <c r="F1373" s="12"/>
      <c r="G1373" s="11" t="s">
        <v>3363</v>
      </c>
      <c r="H1373" s="12"/>
      <c r="I1373" s="13">
        <v>0</v>
      </c>
      <c r="J1373" s="13">
        <v>0</v>
      </c>
      <c r="K1373" s="14" t="str">
        <f t="shared" si="281"/>
        <v>Twitter for Android</v>
      </c>
      <c r="L1373" s="13">
        <v>108</v>
      </c>
      <c r="M1373" s="13">
        <v>255</v>
      </c>
      <c r="N1373" s="13">
        <v>1</v>
      </c>
      <c r="O1373" s="15"/>
      <c r="P1373" s="6">
        <v>41473.642268518517</v>
      </c>
      <c r="Q1373" s="16" t="s">
        <v>3364</v>
      </c>
      <c r="R1373" s="17" t="s">
        <v>3365</v>
      </c>
      <c r="S1373" s="12"/>
      <c r="T1373" s="12"/>
      <c r="U1373" s="10" t="str">
        <f>HYPERLINK("https://pbs.twimg.com/profile_images/986010950196252673/66ffyG1a.jpg","View")</f>
        <v>View</v>
      </c>
    </row>
    <row r="1374" spans="1:21" ht="40.799999999999997">
      <c r="A1374" s="6">
        <v>43425.533101851848</v>
      </c>
      <c r="B1374" s="7" t="str">
        <f>HYPERLINK("https://twitter.com/ManuelVM69","@ManuelVM69")</f>
        <v>@ManuelVM69</v>
      </c>
      <c r="C1374" s="8" t="s">
        <v>3366</v>
      </c>
      <c r="D1374" s="9" t="s">
        <v>3367</v>
      </c>
      <c r="E1374" s="10" t="str">
        <f>HYPERLINK("https://twitter.com/ManuelVM69/status/1065210130046877696","1065210130046877696")</f>
        <v>1065210130046877696</v>
      </c>
      <c r="F1374" s="11" t="s">
        <v>3369</v>
      </c>
      <c r="G1374" s="12"/>
      <c r="H1374" s="12"/>
      <c r="I1374" s="13">
        <v>5</v>
      </c>
      <c r="J1374" s="13">
        <v>2</v>
      </c>
      <c r="K1374" s="14" t="str">
        <f t="shared" si="281"/>
        <v>Twitter for Android</v>
      </c>
      <c r="L1374" s="13">
        <v>1398</v>
      </c>
      <c r="M1374" s="13">
        <v>1123</v>
      </c>
      <c r="N1374" s="13">
        <v>1</v>
      </c>
      <c r="O1374" s="15"/>
      <c r="P1374" s="6">
        <v>42563.812974537039</v>
      </c>
      <c r="Q1374" s="16" t="s">
        <v>3371</v>
      </c>
      <c r="R1374" s="17" t="s">
        <v>3372</v>
      </c>
      <c r="S1374" s="12"/>
      <c r="T1374" s="12"/>
      <c r="U1374" s="10" t="str">
        <f>HYPERLINK("https://pbs.twimg.com/profile_images/1058785037028597760/-ROpHIoM.jpg","View")</f>
        <v>View</v>
      </c>
    </row>
    <row r="1375" spans="1:21" ht="30.6">
      <c r="A1375" s="6">
        <v>43425.532048611116</v>
      </c>
      <c r="B1375" s="7" t="str">
        <f>HYPERLINK("https://twitter.com/lavozdealmeria","@lavozdealmeria")</f>
        <v>@lavozdealmeria</v>
      </c>
      <c r="C1375" s="8" t="s">
        <v>6434</v>
      </c>
      <c r="D1375" s="9" t="s">
        <v>6435</v>
      </c>
      <c r="E1375" s="10" t="str">
        <f>HYPERLINK("https://twitter.com/lavozdealmeria/status/1065209750521094144","1065209750521094144")</f>
        <v>1065209750521094144</v>
      </c>
      <c r="F1375" s="11" t="s">
        <v>6436</v>
      </c>
      <c r="G1375" s="12"/>
      <c r="H1375" s="12"/>
      <c r="I1375" s="13">
        <v>2</v>
      </c>
      <c r="J1375" s="13">
        <v>2</v>
      </c>
      <c r="K1375" s="14" t="str">
        <f>HYPERLINK("https://metricool.com","Metricool")</f>
        <v>Metricool</v>
      </c>
      <c r="L1375" s="13">
        <v>65036</v>
      </c>
      <c r="M1375" s="13">
        <v>544</v>
      </c>
      <c r="N1375" s="13">
        <v>455</v>
      </c>
      <c r="O1375" s="15"/>
      <c r="P1375" s="6">
        <v>40601.515011574076</v>
      </c>
      <c r="Q1375" s="16" t="s">
        <v>1541</v>
      </c>
      <c r="R1375" s="17" t="s">
        <v>6437</v>
      </c>
      <c r="S1375" s="11" t="s">
        <v>6438</v>
      </c>
      <c r="T1375" s="12"/>
      <c r="U1375" s="10" t="str">
        <f>HYPERLINK("https://pbs.twimg.com/profile_images/903233600249888773/E7owiIy7.jpg","View")</f>
        <v>View</v>
      </c>
    </row>
    <row r="1376" spans="1:21" ht="40.799999999999997">
      <c r="A1376" s="6">
        <v>43425.531365740739</v>
      </c>
      <c r="B1376" s="7" t="str">
        <f>HYPERLINK("https://twitter.com/Sr_Gremlin","@Sr_Gremlin")</f>
        <v>@Sr_Gremlin</v>
      </c>
      <c r="C1376" s="8" t="s">
        <v>6439</v>
      </c>
      <c r="D1376" s="9" t="s">
        <v>6440</v>
      </c>
      <c r="E1376" s="10" t="str">
        <f>HYPERLINK("https://twitter.com/Sr_Gremlin/status/1065209502683881472","1065209502683881472")</f>
        <v>1065209502683881472</v>
      </c>
      <c r="F1376" s="12"/>
      <c r="G1376" s="11" t="s">
        <v>6441</v>
      </c>
      <c r="H1376" s="12"/>
      <c r="I1376" s="13">
        <v>0</v>
      </c>
      <c r="J1376" s="13">
        <v>0</v>
      </c>
      <c r="K1376" s="14" t="str">
        <f>HYPERLINK("http://twitter.com/download/android","Twitter for Android")</f>
        <v>Twitter for Android</v>
      </c>
      <c r="L1376" s="13">
        <v>1051</v>
      </c>
      <c r="M1376" s="13">
        <v>2372</v>
      </c>
      <c r="N1376" s="13">
        <v>19</v>
      </c>
      <c r="O1376" s="15"/>
      <c r="P1376" s="6">
        <v>40776.417592592596</v>
      </c>
      <c r="Q1376" s="16" t="s">
        <v>6442</v>
      </c>
      <c r="R1376" s="17" t="s">
        <v>6443</v>
      </c>
      <c r="S1376" s="12"/>
      <c r="T1376" s="12"/>
      <c r="U1376" s="10" t="str">
        <f>HYPERLINK("https://pbs.twimg.com/profile_images/657262540892827648/95FuqdqQ.jpg","View")</f>
        <v>View</v>
      </c>
    </row>
    <row r="1377" spans="1:21" ht="81.599999999999994">
      <c r="A1377" s="6">
        <v>43425.529652777783</v>
      </c>
      <c r="B1377" s="7" t="str">
        <f>HYPERLINK("https://twitter.com/ColoSans","@ColoSans")</f>
        <v>@ColoSans</v>
      </c>
      <c r="C1377" s="8" t="s">
        <v>3373</v>
      </c>
      <c r="D1377" s="9" t="s">
        <v>3374</v>
      </c>
      <c r="E1377" s="10" t="str">
        <f>HYPERLINK("https://twitter.com/ColoSans/status/1065208881603899392","1065208881603899392")</f>
        <v>1065208881603899392</v>
      </c>
      <c r="F1377" s="11" t="s">
        <v>3377</v>
      </c>
      <c r="G1377" s="11" t="s">
        <v>3378</v>
      </c>
      <c r="H1377" s="12"/>
      <c r="I1377" s="13">
        <v>0</v>
      </c>
      <c r="J1377" s="13">
        <v>1</v>
      </c>
      <c r="K1377" s="14" t="str">
        <f>HYPERLINK("http://twitter.com","Twitter Web Client")</f>
        <v>Twitter Web Client</v>
      </c>
      <c r="L1377" s="13">
        <v>231</v>
      </c>
      <c r="M1377" s="13">
        <v>529</v>
      </c>
      <c r="N1377" s="13">
        <v>4</v>
      </c>
      <c r="O1377" s="15"/>
      <c r="P1377" s="6">
        <v>41669.386493055557</v>
      </c>
      <c r="Q1377" s="16" t="s">
        <v>207</v>
      </c>
      <c r="R1377" s="17" t="s">
        <v>3380</v>
      </c>
      <c r="S1377" s="12"/>
      <c r="T1377" s="12"/>
      <c r="U1377" s="10" t="str">
        <f>HYPERLINK("https://pbs.twimg.com/profile_images/1034926450875555850/rU7gPZ89.jpg","View")</f>
        <v>View</v>
      </c>
    </row>
    <row r="1378" spans="1:21" ht="40.799999999999997">
      <c r="A1378" s="6">
        <v>43425.52915509259</v>
      </c>
      <c r="B1378" s="7" t="str">
        <f>HYPERLINK("https://twitter.com/Oliver__Tweets","@Oliver__Tweets")</f>
        <v>@Oliver__Tweets</v>
      </c>
      <c r="C1378" s="8" t="s">
        <v>6444</v>
      </c>
      <c r="D1378" s="9" t="s">
        <v>6445</v>
      </c>
      <c r="E1378" s="10" t="str">
        <f>HYPERLINK("https://twitter.com/Oliver__Tweets/status/1065208702435815426","1065208702435815426")</f>
        <v>1065208702435815426</v>
      </c>
      <c r="F1378" s="16" t="s">
        <v>64</v>
      </c>
      <c r="G1378" s="11" t="s">
        <v>65</v>
      </c>
      <c r="H1378" s="12"/>
      <c r="I1378" s="13">
        <v>0</v>
      </c>
      <c r="J1378" s="13">
        <v>1</v>
      </c>
      <c r="K1378" s="14" t="str">
        <f>HYPERLINK("http://twitter.com/download/iphone","Twitter for iPhone")</f>
        <v>Twitter for iPhone</v>
      </c>
      <c r="L1378" s="13">
        <v>724</v>
      </c>
      <c r="M1378" s="13">
        <v>1775</v>
      </c>
      <c r="N1378" s="13">
        <v>4</v>
      </c>
      <c r="O1378" s="15"/>
      <c r="P1378" s="6">
        <v>40431.876770833333</v>
      </c>
      <c r="Q1378" s="16" t="s">
        <v>6446</v>
      </c>
      <c r="R1378" s="17" t="s">
        <v>6447</v>
      </c>
      <c r="S1378" s="12"/>
      <c r="T1378" s="12"/>
      <c r="U1378" s="10" t="str">
        <f>HYPERLINK("https://pbs.twimg.com/profile_images/1056103021128617984/fuWLtC8H.jpg","View")</f>
        <v>View</v>
      </c>
    </row>
    <row r="1379" spans="1:21" ht="40.799999999999997">
      <c r="A1379" s="6">
        <v>43425.52825231482</v>
      </c>
      <c r="B1379" s="7" t="str">
        <f>HYPERLINK("https://twitter.com/javierpadillab","@javierpadillab")</f>
        <v>@javierpadillab</v>
      </c>
      <c r="C1379" s="8" t="s">
        <v>6448</v>
      </c>
      <c r="D1379" s="9" t="s">
        <v>6449</v>
      </c>
      <c r="E1379" s="10" t="str">
        <f>HYPERLINK("https://twitter.com/javierpadillab/status/1065208374256640003","1065208374256640003")</f>
        <v>1065208374256640003</v>
      </c>
      <c r="F1379" s="12"/>
      <c r="G1379" s="11" t="s">
        <v>6450</v>
      </c>
      <c r="H1379" s="12"/>
      <c r="I1379" s="13">
        <v>9</v>
      </c>
      <c r="J1379" s="13">
        <v>7</v>
      </c>
      <c r="K1379" s="14" t="str">
        <f t="shared" ref="K1379:K1380" si="282">HYPERLINK("http://twitter.com","Twitter Web Client")</f>
        <v>Twitter Web Client</v>
      </c>
      <c r="L1379" s="13">
        <v>10776</v>
      </c>
      <c r="M1379" s="13">
        <v>2374</v>
      </c>
      <c r="N1379" s="13">
        <v>419</v>
      </c>
      <c r="O1379" s="18" t="s">
        <v>36</v>
      </c>
      <c r="P1379" s="6">
        <v>40472.498425925922</v>
      </c>
      <c r="Q1379" s="16" t="s">
        <v>496</v>
      </c>
      <c r="R1379" s="17" t="s">
        <v>6451</v>
      </c>
      <c r="S1379" s="11" t="s">
        <v>6452</v>
      </c>
      <c r="T1379" s="12"/>
      <c r="U1379" s="10" t="str">
        <f>HYPERLINK("https://pbs.twimg.com/profile_images/879770256549572608/ftkv0iYM.jpg","View")</f>
        <v>View</v>
      </c>
    </row>
    <row r="1380" spans="1:21" ht="40.799999999999997">
      <c r="A1380" s="6">
        <v>43425.527650462958</v>
      </c>
      <c r="B1380" s="7" t="str">
        <f>HYPERLINK("https://twitter.com/Asil_Vestra0","@Asil_Vestra0")</f>
        <v>@Asil_Vestra0</v>
      </c>
      <c r="C1380" s="8" t="s">
        <v>6417</v>
      </c>
      <c r="D1380" s="9" t="s">
        <v>6453</v>
      </c>
      <c r="E1380" s="10" t="str">
        <f>HYPERLINK("https://twitter.com/Asil_Vestra0/status/1065208156085727232","1065208156085727232")</f>
        <v>1065208156085727232</v>
      </c>
      <c r="F1380" s="12"/>
      <c r="G1380" s="11" t="s">
        <v>6454</v>
      </c>
      <c r="H1380" s="12"/>
      <c r="I1380" s="13">
        <v>3</v>
      </c>
      <c r="J1380" s="13">
        <v>7</v>
      </c>
      <c r="K1380" s="14" t="str">
        <f t="shared" si="282"/>
        <v>Twitter Web Client</v>
      </c>
      <c r="L1380" s="13">
        <v>21383</v>
      </c>
      <c r="M1380" s="13">
        <v>2603</v>
      </c>
      <c r="N1380" s="13">
        <v>216</v>
      </c>
      <c r="O1380" s="15"/>
      <c r="P1380" s="6">
        <v>40327.894571759258</v>
      </c>
      <c r="Q1380" s="16" t="s">
        <v>6420</v>
      </c>
      <c r="R1380" s="17" t="s">
        <v>6421</v>
      </c>
      <c r="S1380" s="11" t="s">
        <v>6422</v>
      </c>
      <c r="T1380" s="12"/>
      <c r="U1380" s="10" t="str">
        <f>HYPERLINK("https://pbs.twimg.com/profile_images/1017157477220175872/thAgQ9CN.jpg","View")</f>
        <v>View</v>
      </c>
    </row>
    <row r="1381" spans="1:21" ht="71.400000000000006">
      <c r="A1381" s="6">
        <v>43425.525879629626</v>
      </c>
      <c r="B1381" s="7" t="str">
        <f>HYPERLINK("https://twitter.com/Anaiscf","@Anaiscf")</f>
        <v>@Anaiscf</v>
      </c>
      <c r="C1381" s="8" t="s">
        <v>6455</v>
      </c>
      <c r="D1381" s="9" t="s">
        <v>6456</v>
      </c>
      <c r="E1381" s="10" t="str">
        <f>HYPERLINK("https://twitter.com/Anaiscf/status/1065207515544264705","1065207515544264705")</f>
        <v>1065207515544264705</v>
      </c>
      <c r="F1381" s="16" t="s">
        <v>6457</v>
      </c>
      <c r="G1381" s="12"/>
      <c r="H1381" s="12"/>
      <c r="I1381" s="13">
        <v>1</v>
      </c>
      <c r="J1381" s="13">
        <v>4</v>
      </c>
      <c r="K1381" s="14" t="str">
        <f>HYPERLINK("http://twitter.com/download/android","Twitter for Android")</f>
        <v>Twitter for Android</v>
      </c>
      <c r="L1381" s="13">
        <v>317</v>
      </c>
      <c r="M1381" s="13">
        <v>610</v>
      </c>
      <c r="N1381" s="13">
        <v>4</v>
      </c>
      <c r="O1381" s="15"/>
      <c r="P1381" s="6">
        <v>40289.872384259259</v>
      </c>
      <c r="Q1381" s="16" t="s">
        <v>2687</v>
      </c>
      <c r="R1381" s="17" t="s">
        <v>6458</v>
      </c>
      <c r="S1381" s="12"/>
      <c r="T1381" s="12"/>
      <c r="U1381" s="10" t="str">
        <f>HYPERLINK("https://pbs.twimg.com/profile_images/990643273374068738/45yzwB6o.jpg","View")</f>
        <v>View</v>
      </c>
    </row>
    <row r="1382" spans="1:21" ht="40.799999999999997">
      <c r="A1382" s="6">
        <v>43425.524525462963</v>
      </c>
      <c r="B1382" s="7" t="str">
        <f>HYPERLINK("https://twitter.com/Asil_Vestra0","@Asil_Vestra0")</f>
        <v>@Asil_Vestra0</v>
      </c>
      <c r="C1382" s="8" t="s">
        <v>6417</v>
      </c>
      <c r="D1382" s="9" t="s">
        <v>6453</v>
      </c>
      <c r="E1382" s="10" t="str">
        <f>HYPERLINK("https://twitter.com/Asil_Vestra0/status/1065207022789029888","1065207022789029888")</f>
        <v>1065207022789029888</v>
      </c>
      <c r="F1382" s="12"/>
      <c r="G1382" s="11" t="s">
        <v>6459</v>
      </c>
      <c r="H1382" s="12"/>
      <c r="I1382" s="13">
        <v>312</v>
      </c>
      <c r="J1382" s="13">
        <v>429</v>
      </c>
      <c r="K1382" s="14" t="str">
        <f>HYPERLINK("http://twitter.com","Twitter Web Client")</f>
        <v>Twitter Web Client</v>
      </c>
      <c r="L1382" s="13">
        <v>21383</v>
      </c>
      <c r="M1382" s="13">
        <v>2603</v>
      </c>
      <c r="N1382" s="13">
        <v>216</v>
      </c>
      <c r="O1382" s="15"/>
      <c r="P1382" s="6">
        <v>40327.894571759258</v>
      </c>
      <c r="Q1382" s="16" t="s">
        <v>6420</v>
      </c>
      <c r="R1382" s="17" t="s">
        <v>6421</v>
      </c>
      <c r="S1382" s="11" t="s">
        <v>6422</v>
      </c>
      <c r="T1382" s="12"/>
      <c r="U1382" s="10" t="str">
        <f>HYPERLINK("https://pbs.twimg.com/profile_images/1017157477220175872/thAgQ9CN.jpg","View")</f>
        <v>View</v>
      </c>
    </row>
    <row r="1383" spans="1:21" ht="91.8">
      <c r="A1383" s="6">
        <v>43425.522685185184</v>
      </c>
      <c r="B1383" s="7" t="str">
        <f>HYPERLINK("https://twitter.com/Adriwan","@Adriwan")</f>
        <v>@Adriwan</v>
      </c>
      <c r="C1383" s="8" t="s">
        <v>3385</v>
      </c>
      <c r="D1383" s="9" t="s">
        <v>3386</v>
      </c>
      <c r="E1383" s="10" t="str">
        <f>HYPERLINK("https://twitter.com/Adriwan/status/1065206355622076416","1065206355622076416")</f>
        <v>1065206355622076416</v>
      </c>
      <c r="F1383" s="11" t="s">
        <v>3388</v>
      </c>
      <c r="G1383" s="12"/>
      <c r="H1383" s="12"/>
      <c r="I1383" s="13">
        <v>0</v>
      </c>
      <c r="J1383" s="13">
        <v>0</v>
      </c>
      <c r="K1383" s="14" t="str">
        <f t="shared" ref="K1383:K1384" si="283">HYPERLINK("http://twitter.com/download/iphone","Twitter for iPhone")</f>
        <v>Twitter for iPhone</v>
      </c>
      <c r="L1383" s="13">
        <v>525</v>
      </c>
      <c r="M1383" s="13">
        <v>755</v>
      </c>
      <c r="N1383" s="13">
        <v>22</v>
      </c>
      <c r="O1383" s="15"/>
      <c r="P1383" s="6">
        <v>40014.996041666665</v>
      </c>
      <c r="Q1383" s="16" t="s">
        <v>448</v>
      </c>
      <c r="R1383" s="17" t="s">
        <v>3391</v>
      </c>
      <c r="S1383" s="12"/>
      <c r="T1383" s="12"/>
      <c r="U1383" s="10" t="str">
        <f>HYPERLINK("https://pbs.twimg.com/profile_images/981904984194404352/sl8da7MB.jpg","View")</f>
        <v>View</v>
      </c>
    </row>
    <row r="1384" spans="1:21" ht="40.799999999999997">
      <c r="A1384" s="6">
        <v>43425.52207175926</v>
      </c>
      <c r="B1384" s="7" t="str">
        <f>HYPERLINK("https://twitter.com/fjcabacas","@fjcabacas")</f>
        <v>@fjcabacas</v>
      </c>
      <c r="C1384" s="8" t="s">
        <v>3395</v>
      </c>
      <c r="D1384" s="9" t="s">
        <v>3396</v>
      </c>
      <c r="E1384" s="10" t="str">
        <f>HYPERLINK("https://twitter.com/fjcabacas/status/1065206133118418945","1065206133118418945")</f>
        <v>1065206133118418945</v>
      </c>
      <c r="F1384" s="12"/>
      <c r="G1384" s="12"/>
      <c r="H1384" s="12"/>
      <c r="I1384" s="13">
        <v>0</v>
      </c>
      <c r="J1384" s="13">
        <v>0</v>
      </c>
      <c r="K1384" s="14" t="str">
        <f t="shared" si="283"/>
        <v>Twitter for iPhone</v>
      </c>
      <c r="L1384" s="13">
        <v>571</v>
      </c>
      <c r="M1384" s="13">
        <v>741</v>
      </c>
      <c r="N1384" s="13">
        <v>7</v>
      </c>
      <c r="O1384" s="15"/>
      <c r="P1384" s="6">
        <v>40859.943483796298</v>
      </c>
      <c r="Q1384" s="16" t="s">
        <v>3397</v>
      </c>
      <c r="R1384" s="17" t="s">
        <v>3398</v>
      </c>
      <c r="S1384" s="12"/>
      <c r="T1384" s="12"/>
      <c r="U1384" s="10" t="str">
        <f>HYPERLINK("https://pbs.twimg.com/profile_images/1061903579970260992/OLCXAvv-.jpg","View")</f>
        <v>View</v>
      </c>
    </row>
    <row r="1385" spans="1:21" ht="51">
      <c r="A1385" s="6">
        <v>43425.521863425922</v>
      </c>
      <c r="B1385" s="7" t="str">
        <f>HYPERLINK("https://twitter.com/JaviiKoH","@JaviiKoH")</f>
        <v>@JaviiKoH</v>
      </c>
      <c r="C1385" s="8" t="s">
        <v>6460</v>
      </c>
      <c r="D1385" s="9" t="s">
        <v>6461</v>
      </c>
      <c r="E1385" s="10" t="str">
        <f>HYPERLINK("https://twitter.com/JaviiKoH/status/1065206057973223425","1065206057973223425")</f>
        <v>1065206057973223425</v>
      </c>
      <c r="F1385" s="12"/>
      <c r="G1385" s="12"/>
      <c r="H1385" s="12"/>
      <c r="I1385" s="13">
        <v>0</v>
      </c>
      <c r="J1385" s="13">
        <v>1</v>
      </c>
      <c r="K1385" s="14" t="str">
        <f t="shared" ref="K1385:K1386" si="284">HYPERLINK("http://twitter.com","Twitter Web Client")</f>
        <v>Twitter Web Client</v>
      </c>
      <c r="L1385" s="13">
        <v>58</v>
      </c>
      <c r="M1385" s="13">
        <v>42</v>
      </c>
      <c r="N1385" s="13">
        <v>1</v>
      </c>
      <c r="O1385" s="15"/>
      <c r="P1385" s="6">
        <v>41546.721724537041</v>
      </c>
      <c r="Q1385" s="28">
        <v>45827</v>
      </c>
      <c r="R1385" s="17" t="s">
        <v>6462</v>
      </c>
      <c r="S1385" s="12"/>
      <c r="T1385" s="12"/>
      <c r="U1385" s="10" t="str">
        <f>HYPERLINK("https://pbs.twimg.com/profile_images/473201096148942848/BdcNh6ku.jpeg","View")</f>
        <v>View</v>
      </c>
    </row>
    <row r="1386" spans="1:21" ht="51">
      <c r="A1386" s="6">
        <v>43425.521782407406</v>
      </c>
      <c r="B1386" s="7" t="str">
        <f>HYPERLINK("https://twitter.com/diegosad9","@diegosad9")</f>
        <v>@diegosad9</v>
      </c>
      <c r="C1386" s="8" t="s">
        <v>6463</v>
      </c>
      <c r="D1386" s="9" t="s">
        <v>6464</v>
      </c>
      <c r="E1386" s="10" t="str">
        <f>HYPERLINK("https://twitter.com/diegosad9/status/1065206029791756288","1065206029791756288")</f>
        <v>1065206029791756288</v>
      </c>
      <c r="F1386" s="12"/>
      <c r="G1386" s="12"/>
      <c r="H1386" s="12"/>
      <c r="I1386" s="13">
        <v>0</v>
      </c>
      <c r="J1386" s="13">
        <v>1</v>
      </c>
      <c r="K1386" s="14" t="str">
        <f t="shared" si="284"/>
        <v>Twitter Web Client</v>
      </c>
      <c r="L1386" s="13">
        <v>413</v>
      </c>
      <c r="M1386" s="13">
        <v>340</v>
      </c>
      <c r="N1386" s="13">
        <v>16</v>
      </c>
      <c r="O1386" s="15"/>
      <c r="P1386" s="6">
        <v>40397.717048611114</v>
      </c>
      <c r="Q1386" s="16" t="s">
        <v>496</v>
      </c>
      <c r="R1386" s="17" t="s">
        <v>6465</v>
      </c>
      <c r="S1386" s="11" t="s">
        <v>6466</v>
      </c>
      <c r="T1386" s="12"/>
      <c r="U1386" s="10" t="str">
        <f>HYPERLINK("https://pbs.twimg.com/profile_images/882549989351751681/fePfdLQp.jpg","View")</f>
        <v>View</v>
      </c>
    </row>
    <row r="1387" spans="1:21" ht="13.2">
      <c r="A1387" s="6">
        <v>43425.520740740743</v>
      </c>
      <c r="B1387" s="7" t="str">
        <f>HYPERLINK("https://twitter.com/ainacardona","@ainacardona")</f>
        <v>@ainacardona</v>
      </c>
      <c r="C1387" s="8" t="s">
        <v>6467</v>
      </c>
      <c r="D1387" s="9" t="s">
        <v>6468</v>
      </c>
      <c r="E1387" s="10" t="str">
        <f>HYPERLINK("https://twitter.com/ainacardona/status/1065205649750016000","1065205649750016000")</f>
        <v>1065205649750016000</v>
      </c>
      <c r="F1387" s="12"/>
      <c r="G1387" s="12"/>
      <c r="H1387" s="12"/>
      <c r="I1387" s="13">
        <v>1</v>
      </c>
      <c r="J1387" s="13">
        <v>1</v>
      </c>
      <c r="K1387" s="14" t="str">
        <f>HYPERLINK("http://twitter.com/download/iphone","Twitter for iPhone")</f>
        <v>Twitter for iPhone</v>
      </c>
      <c r="L1387" s="13">
        <v>184</v>
      </c>
      <c r="M1387" s="13">
        <v>170</v>
      </c>
      <c r="N1387" s="13">
        <v>5</v>
      </c>
      <c r="O1387" s="15"/>
      <c r="P1387" s="6">
        <v>41786.791250000002</v>
      </c>
      <c r="Q1387" s="16" t="s">
        <v>6469</v>
      </c>
      <c r="R1387" s="17" t="s">
        <v>6470</v>
      </c>
      <c r="S1387" s="12"/>
      <c r="T1387" s="12"/>
      <c r="U1387" s="10" t="str">
        <f>HYPERLINK("https://pbs.twimg.com/profile_images/1060909327299555329/ii0v8crd.jpg","View")</f>
        <v>View</v>
      </c>
    </row>
    <row r="1388" spans="1:21" ht="20.399999999999999">
      <c r="A1388" s="6">
        <v>43425.517604166671</v>
      </c>
      <c r="B1388" s="7" t="str">
        <f>HYPERLINK("https://twitter.com/luisacule1","@luisacule1")</f>
        <v>@luisacule1</v>
      </c>
      <c r="C1388" s="8" t="s">
        <v>6471</v>
      </c>
      <c r="D1388" s="9" t="s">
        <v>6472</v>
      </c>
      <c r="E1388" s="10" t="str">
        <f>HYPERLINK("https://twitter.com/luisacule1/status/1065204514960146432","1065204514960146432")</f>
        <v>1065204514960146432</v>
      </c>
      <c r="F1388" s="11" t="s">
        <v>6473</v>
      </c>
      <c r="G1388" s="12"/>
      <c r="H1388" s="12"/>
      <c r="I1388" s="13">
        <v>0</v>
      </c>
      <c r="J1388" s="13">
        <v>0</v>
      </c>
      <c r="K1388" s="14" t="str">
        <f>HYPERLINK("http://twitter.com","Twitter Web Client")</f>
        <v>Twitter Web Client</v>
      </c>
      <c r="L1388" s="13">
        <v>245</v>
      </c>
      <c r="M1388" s="13">
        <v>953</v>
      </c>
      <c r="N1388" s="13">
        <v>6</v>
      </c>
      <c r="O1388" s="15"/>
      <c r="P1388" s="6">
        <v>41814.626944444448</v>
      </c>
      <c r="Q1388" s="16" t="s">
        <v>448</v>
      </c>
      <c r="R1388" s="19"/>
      <c r="S1388" s="12"/>
      <c r="T1388" s="12"/>
      <c r="U1388" s="10" t="str">
        <f>HYPERLINK("https://pbs.twimg.com/profile_images/858979085502078977/lxPP_Cno.jpg","View")</f>
        <v>View</v>
      </c>
    </row>
    <row r="1389" spans="1:21" ht="40.799999999999997">
      <c r="A1389" s="6">
        <v>43425.516851851848</v>
      </c>
      <c r="B1389" s="7" t="str">
        <f>HYPERLINK("https://twitter.com/DabitxoPiston","@DabitxoPiston")</f>
        <v>@DabitxoPiston</v>
      </c>
      <c r="C1389" s="8" t="s">
        <v>6474</v>
      </c>
      <c r="D1389" s="9" t="s">
        <v>6475</v>
      </c>
      <c r="E1389" s="10" t="str">
        <f>HYPERLINK("https://twitter.com/DabitxoPiston/status/1065204243026579456","1065204243026579456")</f>
        <v>1065204243026579456</v>
      </c>
      <c r="F1389" s="12"/>
      <c r="G1389" s="12"/>
      <c r="H1389" s="12"/>
      <c r="I1389" s="13">
        <v>11</v>
      </c>
      <c r="J1389" s="13">
        <v>21</v>
      </c>
      <c r="K1389" s="14" t="str">
        <f t="shared" ref="K1389:K1390" si="285">HYPERLINK("http://twitter.com/download/android","Twitter for Android")</f>
        <v>Twitter for Android</v>
      </c>
      <c r="L1389" s="13">
        <v>5782</v>
      </c>
      <c r="M1389" s="13">
        <v>4672</v>
      </c>
      <c r="N1389" s="13">
        <v>92</v>
      </c>
      <c r="O1389" s="15"/>
      <c r="P1389" s="6">
        <v>41062.930081018516</v>
      </c>
      <c r="Q1389" s="16" t="s">
        <v>6476</v>
      </c>
      <c r="R1389" s="17" t="s">
        <v>6477</v>
      </c>
      <c r="S1389" s="11" t="s">
        <v>6478</v>
      </c>
      <c r="T1389" s="12"/>
      <c r="U1389" s="10" t="str">
        <f>HYPERLINK("https://pbs.twimg.com/profile_images/1054307397647454210/OfSFnGgj.jpg","View")</f>
        <v>View</v>
      </c>
    </row>
    <row r="1390" spans="1:21" ht="51">
      <c r="A1390" s="6">
        <v>43425.514849537038</v>
      </c>
      <c r="B1390" s="7" t="str">
        <f>HYPERLINK("https://twitter.com/rgl1970","@rgl1970")</f>
        <v>@rgl1970</v>
      </c>
      <c r="C1390" s="8" t="s">
        <v>3401</v>
      </c>
      <c r="D1390" s="9" t="s">
        <v>3402</v>
      </c>
      <c r="E1390" s="10" t="str">
        <f>HYPERLINK("https://twitter.com/rgl1970/status/1065203514450825216","1065203514450825216")</f>
        <v>1065203514450825216</v>
      </c>
      <c r="F1390" s="12"/>
      <c r="G1390" s="11" t="s">
        <v>3404</v>
      </c>
      <c r="H1390" s="12"/>
      <c r="I1390" s="13">
        <v>30</v>
      </c>
      <c r="J1390" s="13">
        <v>33</v>
      </c>
      <c r="K1390" s="14" t="str">
        <f t="shared" si="285"/>
        <v>Twitter for Android</v>
      </c>
      <c r="L1390" s="13">
        <v>2402</v>
      </c>
      <c r="M1390" s="13">
        <v>2828</v>
      </c>
      <c r="N1390" s="13">
        <v>20</v>
      </c>
      <c r="O1390" s="15"/>
      <c r="P1390" s="6">
        <v>41801.661747685182</v>
      </c>
      <c r="Q1390" s="12"/>
      <c r="R1390" s="17" t="s">
        <v>3406</v>
      </c>
      <c r="S1390" s="12"/>
      <c r="T1390" s="12"/>
      <c r="U1390" s="10" t="str">
        <f>HYPERLINK("https://pbs.twimg.com/profile_images/1008752873096826880/ZxAKGMgA.jpg","View")</f>
        <v>View</v>
      </c>
    </row>
    <row r="1391" spans="1:21" ht="40.799999999999997">
      <c r="A1391" s="6">
        <v>43425.511712962965</v>
      </c>
      <c r="B1391" s="7" t="str">
        <f>HYPERLINK("https://twitter.com/josechu300","@josechu300")</f>
        <v>@josechu300</v>
      </c>
      <c r="C1391" s="8" t="s">
        <v>6479</v>
      </c>
      <c r="D1391" s="9" t="s">
        <v>6480</v>
      </c>
      <c r="E1391" s="10" t="str">
        <f>HYPERLINK("https://twitter.com/josechu300/status/1065202379765751808","1065202379765751808")</f>
        <v>1065202379765751808</v>
      </c>
      <c r="F1391" s="11" t="s">
        <v>1228</v>
      </c>
      <c r="G1391" s="12"/>
      <c r="H1391" s="12"/>
      <c r="I1391" s="13">
        <v>1</v>
      </c>
      <c r="J1391" s="13">
        <v>1</v>
      </c>
      <c r="K1391" s="14" t="str">
        <f>HYPERLINK("http://twitter.com","Twitter Web Client")</f>
        <v>Twitter Web Client</v>
      </c>
      <c r="L1391" s="13">
        <v>879</v>
      </c>
      <c r="M1391" s="13">
        <v>1050</v>
      </c>
      <c r="N1391" s="13">
        <v>10</v>
      </c>
      <c r="O1391" s="15"/>
      <c r="P1391" s="6">
        <v>41438.715370370366</v>
      </c>
      <c r="Q1391" s="16" t="s">
        <v>1244</v>
      </c>
      <c r="R1391" s="17" t="s">
        <v>6481</v>
      </c>
      <c r="S1391" s="12"/>
      <c r="T1391" s="12"/>
      <c r="U1391" s="10" t="str">
        <f>HYPERLINK("https://pbs.twimg.com/profile_images/344513261583292036/0f3784dfac51ce8f2b0053e384b8c8ec.jpeg","View")</f>
        <v>View</v>
      </c>
    </row>
    <row r="1392" spans="1:21" ht="51">
      <c r="A1392" s="6">
        <v>43425.509247685186</v>
      </c>
      <c r="B1392" s="7" t="str">
        <f>HYPERLINK("https://twitter.com/HenarOrtiz","@HenarOrtiz")</f>
        <v>@HenarOrtiz</v>
      </c>
      <c r="C1392" s="8" t="s">
        <v>3408</v>
      </c>
      <c r="D1392" s="9" t="s">
        <v>3410</v>
      </c>
      <c r="E1392" s="10" t="str">
        <f>HYPERLINK("https://twitter.com/HenarOrtiz/status/1065201486806876160","1065201486806876160")</f>
        <v>1065201486806876160</v>
      </c>
      <c r="F1392" s="11" t="s">
        <v>3411</v>
      </c>
      <c r="G1392" s="11" t="s">
        <v>3412</v>
      </c>
      <c r="H1392" s="12"/>
      <c r="I1392" s="13">
        <v>4</v>
      </c>
      <c r="J1392" s="13">
        <v>6</v>
      </c>
      <c r="K1392" s="14" t="str">
        <f>HYPERLINK("http://twitter.com/download/android","Twitter for Android")</f>
        <v>Twitter for Android</v>
      </c>
      <c r="L1392" s="13">
        <v>7144</v>
      </c>
      <c r="M1392" s="13">
        <v>5776</v>
      </c>
      <c r="N1392" s="13">
        <v>98</v>
      </c>
      <c r="O1392" s="15"/>
      <c r="P1392" s="6">
        <v>40955.645428240743</v>
      </c>
      <c r="Q1392" s="12"/>
      <c r="R1392" s="17" t="s">
        <v>3414</v>
      </c>
      <c r="S1392" s="12"/>
      <c r="T1392" s="12"/>
      <c r="U1392" s="10" t="str">
        <f>HYPERLINK("https://pbs.twimg.com/profile_images/949357290544607232/EaEmwQE-.jpg","View")</f>
        <v>View</v>
      </c>
    </row>
    <row r="1393" spans="1:21" ht="30.6">
      <c r="A1393" s="6">
        <v>43425.508854166663</v>
      </c>
      <c r="B1393" s="7" t="str">
        <f>HYPERLINK("https://twitter.com/fesmcugtaragon","@fesmcugtaragon")</f>
        <v>@fesmcugtaragon</v>
      </c>
      <c r="C1393" s="8" t="s">
        <v>620</v>
      </c>
      <c r="D1393" s="9" t="s">
        <v>6482</v>
      </c>
      <c r="E1393" s="10" t="str">
        <f>HYPERLINK("https://twitter.com/fesmcugtaragon/status/1065201342770282496","1065201342770282496")</f>
        <v>1065201342770282496</v>
      </c>
      <c r="F1393" s="11" t="s">
        <v>1228</v>
      </c>
      <c r="G1393" s="12"/>
      <c r="H1393" s="12"/>
      <c r="I1393" s="13">
        <v>0</v>
      </c>
      <c r="J1393" s="13">
        <v>3</v>
      </c>
      <c r="K1393" s="14" t="str">
        <f>HYPERLINK("http://twitter.com","Twitter Web Client")</f>
        <v>Twitter Web Client</v>
      </c>
      <c r="L1393" s="13">
        <v>3188</v>
      </c>
      <c r="M1393" s="13">
        <v>3769</v>
      </c>
      <c r="N1393" s="13">
        <v>83</v>
      </c>
      <c r="O1393" s="15"/>
      <c r="P1393" s="6">
        <v>40133.579444444447</v>
      </c>
      <c r="Q1393" s="16" t="s">
        <v>625</v>
      </c>
      <c r="R1393" s="17" t="s">
        <v>626</v>
      </c>
      <c r="S1393" s="11" t="s">
        <v>627</v>
      </c>
      <c r="T1393" s="12"/>
      <c r="U1393" s="10" t="str">
        <f>HYPERLINK("https://pbs.twimg.com/profile_images/740808612298166272/TMGFkDg8.jpg","View")</f>
        <v>View</v>
      </c>
    </row>
    <row r="1394" spans="1:21" ht="40.799999999999997">
      <c r="A1394" s="6">
        <v>43425.507743055554</v>
      </c>
      <c r="B1394" s="7" t="str">
        <f>HYPERLINK("https://twitter.com/camasdigital","@camasdigital")</f>
        <v>@camasdigital</v>
      </c>
      <c r="C1394" s="8" t="s">
        <v>6483</v>
      </c>
      <c r="D1394" s="9" t="s">
        <v>6484</v>
      </c>
      <c r="E1394" s="10" t="str">
        <f>HYPERLINK("https://twitter.com/camasdigital/status/1065200942235246594","1065200942235246594")</f>
        <v>1065200942235246594</v>
      </c>
      <c r="F1394" s="11" t="s">
        <v>6485</v>
      </c>
      <c r="G1394" s="12"/>
      <c r="H1394" s="12"/>
      <c r="I1394" s="13">
        <v>0</v>
      </c>
      <c r="J1394" s="13">
        <v>0</v>
      </c>
      <c r="K1394" s="14" t="str">
        <f>HYPERLINK("http://www.facebook.com/twitter","Facebook")</f>
        <v>Facebook</v>
      </c>
      <c r="L1394" s="13">
        <v>592</v>
      </c>
      <c r="M1394" s="13">
        <v>466</v>
      </c>
      <c r="N1394" s="13">
        <v>6</v>
      </c>
      <c r="O1394" s="15"/>
      <c r="P1394" s="6">
        <v>40089.706932870373</v>
      </c>
      <c r="Q1394" s="16" t="s">
        <v>6486</v>
      </c>
      <c r="R1394" s="17" t="s">
        <v>6487</v>
      </c>
      <c r="S1394" s="11" t="s">
        <v>6488</v>
      </c>
      <c r="T1394" s="12"/>
      <c r="U1394" s="10" t="str">
        <f>HYPERLINK("https://pbs.twimg.com/profile_images/1393878031/camas_digital.jpg","View")</f>
        <v>View</v>
      </c>
    </row>
    <row r="1395" spans="1:21" ht="40.799999999999997">
      <c r="A1395" s="6">
        <v>43425.507337962961</v>
      </c>
      <c r="B1395" s="7" t="str">
        <f>HYPERLINK("https://twitter.com/Jorcaina01Jose","@Jorcaina01Jose")</f>
        <v>@Jorcaina01Jose</v>
      </c>
      <c r="C1395" s="8" t="s">
        <v>3326</v>
      </c>
      <c r="D1395" s="9" t="s">
        <v>3415</v>
      </c>
      <c r="E1395" s="10" t="str">
        <f>HYPERLINK("https://twitter.com/Jorcaina01Jose/status/1065200793974902785","1065200793974902785")</f>
        <v>1065200793974902785</v>
      </c>
      <c r="F1395" s="12"/>
      <c r="G1395" s="11" t="s">
        <v>3416</v>
      </c>
      <c r="H1395" s="12"/>
      <c r="I1395" s="13">
        <v>0</v>
      </c>
      <c r="J1395" s="13">
        <v>1</v>
      </c>
      <c r="K1395" s="14" t="str">
        <f>HYPERLINK("http://twitter.com","Twitter Web Client")</f>
        <v>Twitter Web Client</v>
      </c>
      <c r="L1395" s="13">
        <v>33</v>
      </c>
      <c r="M1395" s="13">
        <v>256</v>
      </c>
      <c r="N1395" s="13">
        <v>0</v>
      </c>
      <c r="O1395" s="15"/>
      <c r="P1395" s="6">
        <v>41044.998726851853</v>
      </c>
      <c r="Q1395" s="16" t="s">
        <v>3328</v>
      </c>
      <c r="R1395" s="17" t="s">
        <v>3329</v>
      </c>
      <c r="S1395" s="12"/>
      <c r="T1395" s="12"/>
      <c r="U1395" s="10" t="str">
        <f>HYPERLINK("https://pbs.twimg.com/profile_images/873419941818621952/dFCZ_5XL.jpg","View")</f>
        <v>View</v>
      </c>
    </row>
    <row r="1396" spans="1:21" ht="30.6">
      <c r="A1396" s="6">
        <v>43425.506944444445</v>
      </c>
      <c r="B1396" s="7" t="str">
        <f>HYPERLINK("https://twitter.com/ElHuffPost","@ElHuffPost")</f>
        <v>@ElHuffPost</v>
      </c>
      <c r="C1396" s="8" t="s">
        <v>6203</v>
      </c>
      <c r="D1396" s="9" t="s">
        <v>6489</v>
      </c>
      <c r="E1396" s="10" t="str">
        <f>HYPERLINK("https://twitter.com/ElHuffPost/status/1065200651142029313","1065200651142029313")</f>
        <v>1065200651142029313</v>
      </c>
      <c r="F1396" s="11" t="s">
        <v>1709</v>
      </c>
      <c r="G1396" s="12"/>
      <c r="H1396" s="12"/>
      <c r="I1396" s="13">
        <v>0</v>
      </c>
      <c r="J1396" s="13">
        <v>0</v>
      </c>
      <c r="K1396" s="14" t="str">
        <f>HYPERLINK("https://about.twitter.com/products/tweetdeck","TweetDeck")</f>
        <v>TweetDeck</v>
      </c>
      <c r="L1396" s="13">
        <v>430324</v>
      </c>
      <c r="M1396" s="13">
        <v>1532</v>
      </c>
      <c r="N1396" s="13">
        <v>8188</v>
      </c>
      <c r="O1396" s="18" t="s">
        <v>36</v>
      </c>
      <c r="P1396" s="6">
        <v>40785.027118055557</v>
      </c>
      <c r="Q1396" s="16" t="s">
        <v>440</v>
      </c>
      <c r="R1396" s="17" t="s">
        <v>6205</v>
      </c>
      <c r="S1396" s="11" t="s">
        <v>6206</v>
      </c>
      <c r="T1396" s="12"/>
      <c r="U1396" s="10" t="str">
        <f>HYPERLINK("https://pbs.twimg.com/profile_images/921140803422089217/ETOEUOAx.jpg","View")</f>
        <v>View</v>
      </c>
    </row>
    <row r="1397" spans="1:21" ht="51">
      <c r="A1397" s="6">
        <v>43425.506493055553</v>
      </c>
      <c r="B1397" s="7" t="str">
        <f>HYPERLINK("https://twitter.com/jorull","@jorull")</f>
        <v>@jorull</v>
      </c>
      <c r="C1397" s="8" t="s">
        <v>3419</v>
      </c>
      <c r="D1397" s="9" t="s">
        <v>3420</v>
      </c>
      <c r="E1397" s="10" t="str">
        <f>HYPERLINK("https://twitter.com/jorull/status/1065200489220968449","1065200489220968449")</f>
        <v>1065200489220968449</v>
      </c>
      <c r="F1397" s="12"/>
      <c r="G1397" s="12"/>
      <c r="H1397" s="12"/>
      <c r="I1397" s="13">
        <v>0</v>
      </c>
      <c r="J1397" s="13">
        <v>0</v>
      </c>
      <c r="K1397" s="14" t="str">
        <f t="shared" ref="K1397:K1399" si="286">HYPERLINK("http://twitter.com","Twitter Web Client")</f>
        <v>Twitter Web Client</v>
      </c>
      <c r="L1397" s="13">
        <v>275</v>
      </c>
      <c r="M1397" s="13">
        <v>68</v>
      </c>
      <c r="N1397" s="13">
        <v>10</v>
      </c>
      <c r="O1397" s="15"/>
      <c r="P1397" s="6">
        <v>40181.034189814818</v>
      </c>
      <c r="Q1397" s="16" t="s">
        <v>3063</v>
      </c>
      <c r="R1397" s="17" t="s">
        <v>3423</v>
      </c>
      <c r="S1397" s="11" t="s">
        <v>3424</v>
      </c>
      <c r="T1397" s="12"/>
      <c r="U1397" s="10" t="str">
        <f>HYPERLINK("https://pbs.twimg.com/profile_images/999555946312445954/raLuBly5.jpg","View")</f>
        <v>View</v>
      </c>
    </row>
    <row r="1398" spans="1:21" ht="40.799999999999997">
      <c r="A1398" s="6">
        <v>43425.505590277782</v>
      </c>
      <c r="B1398" s="7" t="str">
        <f>HYPERLINK("https://twitter.com/mdamare","@mdamare")</f>
        <v>@mdamare</v>
      </c>
      <c r="C1398" s="8" t="s">
        <v>3425</v>
      </c>
      <c r="D1398" s="9" t="s">
        <v>3426</v>
      </c>
      <c r="E1398" s="10" t="str">
        <f>HYPERLINK("https://twitter.com/mdamare/status/1065200160463044608","1065200160463044608")</f>
        <v>1065200160463044608</v>
      </c>
      <c r="F1398" s="16" t="s">
        <v>1776</v>
      </c>
      <c r="G1398" s="12"/>
      <c r="H1398" s="12"/>
      <c r="I1398" s="13">
        <v>0</v>
      </c>
      <c r="J1398" s="13">
        <v>1</v>
      </c>
      <c r="K1398" s="14" t="str">
        <f t="shared" si="286"/>
        <v>Twitter Web Client</v>
      </c>
      <c r="L1398" s="13">
        <v>432</v>
      </c>
      <c r="M1398" s="13">
        <v>174</v>
      </c>
      <c r="N1398" s="13">
        <v>31</v>
      </c>
      <c r="O1398" s="15"/>
      <c r="P1398" s="6">
        <v>39976.597048611111</v>
      </c>
      <c r="Q1398" s="16" t="s">
        <v>75</v>
      </c>
      <c r="R1398" s="17" t="s">
        <v>3427</v>
      </c>
      <c r="S1398" s="11" t="s">
        <v>3428</v>
      </c>
      <c r="T1398" s="12"/>
      <c r="U1398" s="10" t="str">
        <f>HYPERLINK("https://pbs.twimg.com/profile_images/921307297816641536/1aEfqDZh.jpg","View")</f>
        <v>View</v>
      </c>
    </row>
    <row r="1399" spans="1:21" ht="40.799999999999997">
      <c r="A1399" s="6">
        <v>43425.504652777774</v>
      </c>
      <c r="B1399" s="7" t="str">
        <f>HYPERLINK("https://twitter.com/protestona1","@protestona1")</f>
        <v>@protestona1</v>
      </c>
      <c r="C1399" s="8" t="s">
        <v>1078</v>
      </c>
      <c r="D1399" s="9" t="s">
        <v>6494</v>
      </c>
      <c r="E1399" s="10" t="str">
        <f>HYPERLINK("https://twitter.com/protestona1/status/1065199820246269952","1065199820246269952")</f>
        <v>1065199820246269952</v>
      </c>
      <c r="F1399" s="12"/>
      <c r="G1399" s="12"/>
      <c r="H1399" s="12"/>
      <c r="I1399" s="13">
        <v>80</v>
      </c>
      <c r="J1399" s="13">
        <v>169</v>
      </c>
      <c r="K1399" s="14" t="str">
        <f t="shared" si="286"/>
        <v>Twitter Web Client</v>
      </c>
      <c r="L1399" s="13">
        <v>151542</v>
      </c>
      <c r="M1399" s="13">
        <v>2210</v>
      </c>
      <c r="N1399" s="13">
        <v>4</v>
      </c>
      <c r="O1399" s="15"/>
      <c r="P1399" s="6">
        <v>41352.82136574074</v>
      </c>
      <c r="Q1399" s="16" t="s">
        <v>662</v>
      </c>
      <c r="R1399" s="17" t="s">
        <v>1082</v>
      </c>
      <c r="S1399" s="11" t="s">
        <v>1083</v>
      </c>
      <c r="T1399" s="12"/>
      <c r="U1399" s="10" t="str">
        <f>HYPERLINK("https://pbs.twimg.com/profile_images/1014938895501463552/_oCE6Q1b.jpg","View")</f>
        <v>View</v>
      </c>
    </row>
    <row r="1400" spans="1:21" ht="40.799999999999997">
      <c r="A1400" s="6">
        <v>43425.501388888893</v>
      </c>
      <c r="B1400" s="7" t="str">
        <f>HYPERLINK("https://twitter.com/bitMomentum","@bitMomentum")</f>
        <v>@bitMomentum</v>
      </c>
      <c r="C1400" s="8" t="s">
        <v>706</v>
      </c>
      <c r="D1400" s="9" t="s">
        <v>3431</v>
      </c>
      <c r="E1400" s="10" t="str">
        <f>HYPERLINK("https://twitter.com/bitMomentum/status/1065198637037293569","1065198637037293569")</f>
        <v>1065198637037293569</v>
      </c>
      <c r="F1400" s="12"/>
      <c r="G1400" s="12"/>
      <c r="H1400" s="12"/>
      <c r="I1400" s="13">
        <v>0</v>
      </c>
      <c r="J1400" s="13">
        <v>0</v>
      </c>
      <c r="K1400" s="14" t="str">
        <f>HYPERLINK("http://www.bitmomentum.com","bitMomentum Bot")</f>
        <v>bitMomentum Bot</v>
      </c>
      <c r="L1400" s="13">
        <v>10132</v>
      </c>
      <c r="M1400" s="13">
        <v>1060</v>
      </c>
      <c r="N1400" s="13">
        <v>262</v>
      </c>
      <c r="O1400" s="15"/>
      <c r="P1400" s="6">
        <v>41608.667511574073</v>
      </c>
      <c r="Q1400" s="12"/>
      <c r="R1400" s="17" t="s">
        <v>708</v>
      </c>
      <c r="S1400" s="11" t="s">
        <v>709</v>
      </c>
      <c r="T1400" s="12"/>
      <c r="U1400" s="10" t="str">
        <f>HYPERLINK("https://pbs.twimg.com/profile_images/378800000862185241/20ij2H3u.png","View")</f>
        <v>View</v>
      </c>
    </row>
    <row r="1401" spans="1:21" ht="61.2">
      <c r="A1401" s="6">
        <v>43425.501342592594</v>
      </c>
      <c r="B1401" s="7" t="str">
        <f>HYPERLINK("https://twitter.com/Rojiblanco_ATM","@Rojiblanco_ATM")</f>
        <v>@Rojiblanco_ATM</v>
      </c>
      <c r="C1401" s="8" t="s">
        <v>3436</v>
      </c>
      <c r="D1401" s="9" t="s">
        <v>3437</v>
      </c>
      <c r="E1401" s="10" t="str">
        <f>HYPERLINK("https://twitter.com/Rojiblanco_ATM/status/1065198623137439746","1065198623137439746")</f>
        <v>1065198623137439746</v>
      </c>
      <c r="F1401" s="16" t="s">
        <v>64</v>
      </c>
      <c r="G1401" s="11" t="s">
        <v>65</v>
      </c>
      <c r="H1401" s="12"/>
      <c r="I1401" s="13">
        <v>1</v>
      </c>
      <c r="J1401" s="13">
        <v>1</v>
      </c>
      <c r="K1401" s="14" t="str">
        <f>HYPERLINK("http://twitter.com/download/android","Twitter for Android")</f>
        <v>Twitter for Android</v>
      </c>
      <c r="L1401" s="13">
        <v>975</v>
      </c>
      <c r="M1401" s="13">
        <v>494</v>
      </c>
      <c r="N1401" s="13">
        <v>6</v>
      </c>
      <c r="O1401" s="15"/>
      <c r="P1401" s="6">
        <v>41353.554340277777</v>
      </c>
      <c r="Q1401" s="16" t="s">
        <v>3439</v>
      </c>
      <c r="R1401" s="17" t="s">
        <v>3440</v>
      </c>
      <c r="S1401" s="11" t="s">
        <v>3441</v>
      </c>
      <c r="T1401" s="12"/>
      <c r="U1401" s="10" t="str">
        <f>HYPERLINK("https://pbs.twimg.com/profile_images/1017794795312418816/uorGD7Wo.jpg","View")</f>
        <v>View</v>
      </c>
    </row>
    <row r="1402" spans="1:21" ht="51">
      <c r="A1402" s="6">
        <v>43425.500694444447</v>
      </c>
      <c r="B1402" s="7" t="str">
        <f>HYPERLINK("https://twitter.com/bitMomentum","@bitMomentum")</f>
        <v>@bitMomentum</v>
      </c>
      <c r="C1402" s="8" t="s">
        <v>706</v>
      </c>
      <c r="D1402" s="9" t="s">
        <v>3443</v>
      </c>
      <c r="E1402" s="10" t="str">
        <f>HYPERLINK("https://twitter.com/bitMomentum/status/1065198385332928512","1065198385332928512")</f>
        <v>1065198385332928512</v>
      </c>
      <c r="F1402" s="12"/>
      <c r="G1402" s="12"/>
      <c r="H1402" s="12"/>
      <c r="I1402" s="13">
        <v>0</v>
      </c>
      <c r="J1402" s="13">
        <v>1</v>
      </c>
      <c r="K1402" s="14" t="str">
        <f>HYPERLINK("http://www.bitmomentum.com","bitMomentum Bot")</f>
        <v>bitMomentum Bot</v>
      </c>
      <c r="L1402" s="13">
        <v>10132</v>
      </c>
      <c r="M1402" s="13">
        <v>1060</v>
      </c>
      <c r="N1402" s="13">
        <v>262</v>
      </c>
      <c r="O1402" s="15"/>
      <c r="P1402" s="6">
        <v>41608.667511574073</v>
      </c>
      <c r="Q1402" s="12"/>
      <c r="R1402" s="17" t="s">
        <v>708</v>
      </c>
      <c r="S1402" s="11" t="s">
        <v>709</v>
      </c>
      <c r="T1402" s="12"/>
      <c r="U1402" s="10" t="str">
        <f>HYPERLINK("https://pbs.twimg.com/profile_images/378800000862185241/20ij2H3u.png","View")</f>
        <v>View</v>
      </c>
    </row>
    <row r="1403" spans="1:21" ht="51">
      <c r="A1403" s="6">
        <v>43425.499872685185</v>
      </c>
      <c r="B1403" s="7" t="str">
        <f>HYPERLINK("https://twitter.com/lluruap1","@lluruap1")</f>
        <v>@lluruap1</v>
      </c>
      <c r="C1403" s="8" t="s">
        <v>6495</v>
      </c>
      <c r="D1403" s="9" t="s">
        <v>6496</v>
      </c>
      <c r="E1403" s="10" t="str">
        <f>HYPERLINK("https://twitter.com/lluruap1/status/1065198089005400064","1065198089005400064")</f>
        <v>1065198089005400064</v>
      </c>
      <c r="F1403" s="16" t="s">
        <v>733</v>
      </c>
      <c r="G1403" s="11" t="s">
        <v>65</v>
      </c>
      <c r="H1403" s="12"/>
      <c r="I1403" s="13">
        <v>0</v>
      </c>
      <c r="J1403" s="13">
        <v>0</v>
      </c>
      <c r="K1403" s="14" t="str">
        <f>HYPERLINK("http://twitter.com/download/iphone","Twitter for iPhone")</f>
        <v>Twitter for iPhone</v>
      </c>
      <c r="L1403" s="13">
        <v>26</v>
      </c>
      <c r="M1403" s="13">
        <v>223</v>
      </c>
      <c r="N1403" s="13">
        <v>0</v>
      </c>
      <c r="O1403" s="15"/>
      <c r="P1403" s="6">
        <v>42820.762094907404</v>
      </c>
      <c r="Q1403" s="12"/>
      <c r="R1403" s="17" t="s">
        <v>6497</v>
      </c>
      <c r="S1403" s="12"/>
      <c r="T1403" s="12"/>
      <c r="U1403" s="10" t="str">
        <f>HYPERLINK("https://pbs.twimg.com/profile_images/1041295605107187713/1pNOsUgY.jpg","View")</f>
        <v>View</v>
      </c>
    </row>
    <row r="1404" spans="1:21" ht="20.399999999999999">
      <c r="A1404" s="6">
        <v>43425.499351851853</v>
      </c>
      <c r="B1404" s="7" t="str">
        <f>HYPERLINK("https://twitter.com/bienar4030","@bienar4030")</f>
        <v>@bienar4030</v>
      </c>
      <c r="C1404" s="8" t="s">
        <v>6498</v>
      </c>
      <c r="D1404" s="9" t="s">
        <v>6489</v>
      </c>
      <c r="E1404" s="10" t="str">
        <f>HYPERLINK("https://twitter.com/bienar4030/status/1065197899636752385","1065197899636752385")</f>
        <v>1065197899636752385</v>
      </c>
      <c r="F1404" s="11" t="s">
        <v>6499</v>
      </c>
      <c r="G1404" s="12"/>
      <c r="H1404" s="12"/>
      <c r="I1404" s="13">
        <v>0</v>
      </c>
      <c r="J1404" s="13">
        <v>0</v>
      </c>
      <c r="K1404" s="14" t="str">
        <f>HYPERLINK("http://twitter.com","Twitter Web Client")</f>
        <v>Twitter Web Client</v>
      </c>
      <c r="L1404" s="13">
        <v>1481</v>
      </c>
      <c r="M1404" s="13">
        <v>1475</v>
      </c>
      <c r="N1404" s="13">
        <v>33</v>
      </c>
      <c r="O1404" s="15"/>
      <c r="P1404" s="6">
        <v>41554.843101851853</v>
      </c>
      <c r="Q1404" s="12"/>
      <c r="R1404" s="17" t="s">
        <v>6500</v>
      </c>
      <c r="S1404" s="12"/>
      <c r="T1404" s="12"/>
      <c r="U1404" s="10" t="str">
        <f>HYPERLINK("https://pbs.twimg.com/profile_images/1057601277331492864/erv2nc24.jpg","View")</f>
        <v>View</v>
      </c>
    </row>
    <row r="1405" spans="1:21" ht="30.6">
      <c r="A1405" s="6">
        <v>43425.499293981484</v>
      </c>
      <c r="B1405" s="7" t="str">
        <f>HYPERLINK("https://twitter.com/OsitoFumonOFI","@OsitoFumonOFI")</f>
        <v>@OsitoFumonOFI</v>
      </c>
      <c r="C1405" s="8" t="s">
        <v>6501</v>
      </c>
      <c r="D1405" s="9" t="s">
        <v>6502</v>
      </c>
      <c r="E1405" s="10" t="str">
        <f>HYPERLINK("https://twitter.com/OsitoFumonOFI/status/1065197880070324225","1065197880070324225")</f>
        <v>1065197880070324225</v>
      </c>
      <c r="F1405" s="12"/>
      <c r="G1405" s="12"/>
      <c r="H1405" s="12"/>
      <c r="I1405" s="13">
        <v>1</v>
      </c>
      <c r="J1405" s="13">
        <v>4</v>
      </c>
      <c r="K1405" s="14" t="str">
        <f>HYPERLINK("http://twitter.com/download/iphone","Twitter for iPhone")</f>
        <v>Twitter for iPhone</v>
      </c>
      <c r="L1405" s="13">
        <v>10755</v>
      </c>
      <c r="M1405" s="13">
        <v>1838</v>
      </c>
      <c r="N1405" s="13">
        <v>86</v>
      </c>
      <c r="O1405" s="15"/>
      <c r="P1405" s="6">
        <v>41741.649780092594</v>
      </c>
      <c r="Q1405" s="16" t="s">
        <v>6503</v>
      </c>
      <c r="R1405" s="17" t="s">
        <v>6504</v>
      </c>
      <c r="S1405" s="12"/>
      <c r="T1405" s="12"/>
      <c r="U1405" s="10" t="str">
        <f>HYPERLINK("https://pbs.twimg.com/profile_images/973321176142483457/Ilv0qqDL.jpg","View")</f>
        <v>View</v>
      </c>
    </row>
    <row r="1406" spans="1:21" ht="30.6">
      <c r="A1406" s="6">
        <v>43425.497581018513</v>
      </c>
      <c r="B1406" s="7" t="str">
        <f>HYPERLINK("https://twitter.com/NaranjitoExpres","@NaranjitoExpres")</f>
        <v>@NaranjitoExpres</v>
      </c>
      <c r="C1406" s="8" t="s">
        <v>2637</v>
      </c>
      <c r="D1406" s="9" t="s">
        <v>6505</v>
      </c>
      <c r="E1406" s="10" t="str">
        <f>HYPERLINK("https://twitter.com/NaranjitoExpres/status/1065197259090997248","1065197259090997248")</f>
        <v>1065197259090997248</v>
      </c>
      <c r="F1406" s="11" t="s">
        <v>6506</v>
      </c>
      <c r="G1406" s="12"/>
      <c r="H1406" s="12"/>
      <c r="I1406" s="13">
        <v>0</v>
      </c>
      <c r="J1406" s="13">
        <v>0</v>
      </c>
      <c r="K1406" s="14" t="str">
        <f>HYPERLINK("https://ifttt.com","IFTTT")</f>
        <v>IFTTT</v>
      </c>
      <c r="L1406" s="13">
        <v>1336</v>
      </c>
      <c r="M1406" s="13">
        <v>1186</v>
      </c>
      <c r="N1406" s="13">
        <v>8</v>
      </c>
      <c r="O1406" s="15"/>
      <c r="P1406" s="6">
        <v>42301.67768518519</v>
      </c>
      <c r="Q1406" s="16" t="s">
        <v>118</v>
      </c>
      <c r="R1406" s="17" t="s">
        <v>2643</v>
      </c>
      <c r="S1406" s="11" t="s">
        <v>1880</v>
      </c>
      <c r="T1406" s="12"/>
      <c r="U1406" s="10" t="str">
        <f>HYPERLINK("https://pbs.twimg.com/profile_images/894744160279941120/fVCv-yaU.jpg","View")</f>
        <v>View</v>
      </c>
    </row>
    <row r="1407" spans="1:21" ht="102">
      <c r="A1407" s="6">
        <v>43425.496574074074</v>
      </c>
      <c r="B1407" s="7" t="str">
        <f>HYPERLINK("https://twitter.com/juanan_08","@juanan_08")</f>
        <v>@juanan_08</v>
      </c>
      <c r="C1407" s="8" t="s">
        <v>1789</v>
      </c>
      <c r="D1407" s="9" t="s">
        <v>6507</v>
      </c>
      <c r="E1407" s="10" t="str">
        <f>HYPERLINK("https://twitter.com/juanan_08/status/1065196891581886466","1065196891581886466")</f>
        <v>1065196891581886466</v>
      </c>
      <c r="F1407" s="11" t="s">
        <v>2769</v>
      </c>
      <c r="G1407" s="11" t="s">
        <v>2770</v>
      </c>
      <c r="H1407" s="12"/>
      <c r="I1407" s="13">
        <v>0</v>
      </c>
      <c r="J1407" s="13">
        <v>0</v>
      </c>
      <c r="K1407" s="14" t="str">
        <f t="shared" ref="K1407:K1408" si="287">HYPERLINK("http://twitter.com/download/android","Twitter for Android")</f>
        <v>Twitter for Android</v>
      </c>
      <c r="L1407" s="13">
        <v>348</v>
      </c>
      <c r="M1407" s="13">
        <v>565</v>
      </c>
      <c r="N1407" s="13">
        <v>16</v>
      </c>
      <c r="O1407" s="15"/>
      <c r="P1407" s="6">
        <v>40276.442974537036</v>
      </c>
      <c r="Q1407" s="12"/>
      <c r="R1407" s="17" t="s">
        <v>1793</v>
      </c>
      <c r="S1407" s="12"/>
      <c r="T1407" s="12"/>
      <c r="U1407" s="10" t="str">
        <f>HYPERLINK("https://pbs.twimg.com/profile_images/1028000411406491649/xOhdyLKe.jpg","View")</f>
        <v>View</v>
      </c>
    </row>
    <row r="1408" spans="1:21" ht="40.799999999999997">
      <c r="A1408" s="6">
        <v>43425.495671296296</v>
      </c>
      <c r="B1408" s="7" t="str">
        <f>HYPERLINK("https://twitter.com/javierpink","@javierpink")</f>
        <v>@javierpink</v>
      </c>
      <c r="C1408" s="8" t="s">
        <v>3861</v>
      </c>
      <c r="D1408" s="9" t="s">
        <v>6508</v>
      </c>
      <c r="E1408" s="10" t="str">
        <f>HYPERLINK("https://twitter.com/javierpink/status/1065196564774379520","1065196564774379520")</f>
        <v>1065196564774379520</v>
      </c>
      <c r="F1408" s="16" t="s">
        <v>6509</v>
      </c>
      <c r="G1408" s="12"/>
      <c r="H1408" s="12"/>
      <c r="I1408" s="13">
        <v>0</v>
      </c>
      <c r="J1408" s="13">
        <v>0</v>
      </c>
      <c r="K1408" s="14" t="str">
        <f t="shared" si="287"/>
        <v>Twitter for Android</v>
      </c>
      <c r="L1408" s="13">
        <v>1604</v>
      </c>
      <c r="M1408" s="13">
        <v>1072</v>
      </c>
      <c r="N1408" s="13">
        <v>46</v>
      </c>
      <c r="O1408" s="15"/>
      <c r="P1408" s="6">
        <v>40814.599710648152</v>
      </c>
      <c r="Q1408" s="16" t="s">
        <v>3864</v>
      </c>
      <c r="R1408" s="17" t="s">
        <v>3865</v>
      </c>
      <c r="S1408" s="12"/>
      <c r="T1408" s="12"/>
      <c r="U1408" s="10" t="str">
        <f>HYPERLINK("https://pbs.twimg.com/profile_images/945247893799268353/cJIjNqei.jpg","View")</f>
        <v>View</v>
      </c>
    </row>
    <row r="1409" spans="1:21" ht="51">
      <c r="A1409" s="6">
        <v>43425.495034722218</v>
      </c>
      <c r="B1409" s="7" t="str">
        <f>HYPERLINK("https://twitter.com/edzeballos","@edzeballos")</f>
        <v>@edzeballos</v>
      </c>
      <c r="C1409" s="8" t="s">
        <v>3444</v>
      </c>
      <c r="D1409" s="9" t="s">
        <v>3446</v>
      </c>
      <c r="E1409" s="10" t="str">
        <f>HYPERLINK("https://twitter.com/edzeballos/status/1065196336339972096","1065196336339972096")</f>
        <v>1065196336339972096</v>
      </c>
      <c r="F1409" s="12"/>
      <c r="G1409" s="12"/>
      <c r="H1409" s="12"/>
      <c r="I1409" s="13">
        <v>0</v>
      </c>
      <c r="J1409" s="13">
        <v>0</v>
      </c>
      <c r="K1409" s="14" t="str">
        <f>HYPERLINK("http://twitter.com/download/iphone","Twitter for iPhone")</f>
        <v>Twitter for iPhone</v>
      </c>
      <c r="L1409" s="13">
        <v>73</v>
      </c>
      <c r="M1409" s="13">
        <v>375</v>
      </c>
      <c r="N1409" s="13">
        <v>1</v>
      </c>
      <c r="O1409" s="15"/>
      <c r="P1409" s="6">
        <v>42342.58184027778</v>
      </c>
      <c r="Q1409" s="16" t="s">
        <v>207</v>
      </c>
      <c r="R1409" s="17" t="s">
        <v>3449</v>
      </c>
      <c r="S1409" s="12"/>
      <c r="T1409" s="12"/>
      <c r="U1409" s="10" t="str">
        <f>HYPERLINK("https://pbs.twimg.com/profile_images/976595117002850304/rqQYoZTh.jpg","View")</f>
        <v>View</v>
      </c>
    </row>
    <row r="1410" spans="1:21" ht="51">
      <c r="A1410" s="6">
        <v>43425.494490740741</v>
      </c>
      <c r="B1410" s="7" t="str">
        <f>HYPERLINK("https://twitter.com/CAONGD","@CAONGD")</f>
        <v>@CAONGD</v>
      </c>
      <c r="C1410" s="8" t="s">
        <v>3452</v>
      </c>
      <c r="D1410" s="9" t="s">
        <v>3453</v>
      </c>
      <c r="E1410" s="10" t="str">
        <f>HYPERLINK("https://twitter.com/CAONGD/status/1065196138310045696","1065196138310045696")</f>
        <v>1065196138310045696</v>
      </c>
      <c r="F1410" s="11" t="s">
        <v>3454</v>
      </c>
      <c r="G1410" s="11" t="s">
        <v>3455</v>
      </c>
      <c r="H1410" s="12"/>
      <c r="I1410" s="13">
        <v>4</v>
      </c>
      <c r="J1410" s="13">
        <v>3</v>
      </c>
      <c r="K1410" s="14" t="str">
        <f>HYPERLINK("http://twitter.com","Twitter Web Client")</f>
        <v>Twitter Web Client</v>
      </c>
      <c r="L1410" s="13">
        <v>2663</v>
      </c>
      <c r="M1410" s="13">
        <v>724</v>
      </c>
      <c r="N1410" s="13">
        <v>163</v>
      </c>
      <c r="O1410" s="15"/>
      <c r="P1410" s="6">
        <v>41037.535104166665</v>
      </c>
      <c r="Q1410" s="16" t="s">
        <v>181</v>
      </c>
      <c r="R1410" s="17" t="s">
        <v>3456</v>
      </c>
      <c r="S1410" s="11" t="s">
        <v>3457</v>
      </c>
      <c r="T1410" s="12"/>
      <c r="U1410" s="10" t="str">
        <f>HYPERLINK("https://pbs.twimg.com/profile_images/905852479576924160/r3IQ3_Hz.jpg","View")</f>
        <v>View</v>
      </c>
    </row>
    <row r="1411" spans="1:21" ht="40.799999999999997">
      <c r="A1411" s="6">
        <v>43425.494270833333</v>
      </c>
      <c r="B1411" s="7" t="str">
        <f>HYPERLINK("https://twitter.com/francis_kepe","@francis_kepe")</f>
        <v>@francis_kepe</v>
      </c>
      <c r="C1411" s="8" t="s">
        <v>6510</v>
      </c>
      <c r="D1411" s="9" t="s">
        <v>6511</v>
      </c>
      <c r="E1411" s="10" t="str">
        <f>HYPERLINK("https://twitter.com/francis_kepe/status/1065196057406185472","1065196057406185472")</f>
        <v>1065196057406185472</v>
      </c>
      <c r="F1411" s="12"/>
      <c r="G1411" s="11" t="s">
        <v>65</v>
      </c>
      <c r="H1411" s="12"/>
      <c r="I1411" s="13">
        <v>1</v>
      </c>
      <c r="J1411" s="13">
        <v>4</v>
      </c>
      <c r="K1411" s="14" t="str">
        <f>HYPERLINK("http://twitter.com/download/android","Twitter for Android")</f>
        <v>Twitter for Android</v>
      </c>
      <c r="L1411" s="13">
        <v>1132</v>
      </c>
      <c r="M1411" s="13">
        <v>894</v>
      </c>
      <c r="N1411" s="13">
        <v>31</v>
      </c>
      <c r="O1411" s="15"/>
      <c r="P1411" s="6">
        <v>40526.648877314816</v>
      </c>
      <c r="Q1411" s="12"/>
      <c r="R1411" s="17" t="s">
        <v>6512</v>
      </c>
      <c r="S1411" s="12"/>
      <c r="T1411" s="12"/>
      <c r="U1411" s="10" t="str">
        <f>HYPERLINK("https://pbs.twimg.com/profile_images/999369994537320450/X_BXanzd.jpg","View")</f>
        <v>View</v>
      </c>
    </row>
    <row r="1412" spans="1:21" ht="20.399999999999999">
      <c r="A1412" s="6">
        <v>43425.493645833332</v>
      </c>
      <c r="B1412" s="7" t="str">
        <f>HYPERLINK("https://twitter.com/ecorepublicano","@ecorepublicano")</f>
        <v>@ecorepublicano</v>
      </c>
      <c r="C1412" s="8" t="s">
        <v>6426</v>
      </c>
      <c r="D1412" s="9" t="s">
        <v>6513</v>
      </c>
      <c r="E1412" s="10" t="str">
        <f>HYPERLINK("https://twitter.com/ecorepublicano/status/1065195833535225856","1065195833535225856")</f>
        <v>1065195833535225856</v>
      </c>
      <c r="F1412" s="11" t="s">
        <v>6514</v>
      </c>
      <c r="G1412" s="11" t="s">
        <v>6515</v>
      </c>
      <c r="H1412" s="12"/>
      <c r="I1412" s="13">
        <v>21</v>
      </c>
      <c r="J1412" s="13">
        <v>65</v>
      </c>
      <c r="K1412" s="14" t="str">
        <f>HYPERLINK("http://twitter.com","Twitter Web Client")</f>
        <v>Twitter Web Client</v>
      </c>
      <c r="L1412" s="13">
        <v>174609</v>
      </c>
      <c r="M1412" s="13">
        <v>93442</v>
      </c>
      <c r="N1412" s="13">
        <v>843</v>
      </c>
      <c r="O1412" s="15"/>
      <c r="P1412" s="6">
        <v>40686.565243055556</v>
      </c>
      <c r="Q1412" s="16" t="s">
        <v>37</v>
      </c>
      <c r="R1412" s="17" t="s">
        <v>6429</v>
      </c>
      <c r="S1412" s="11" t="s">
        <v>6430</v>
      </c>
      <c r="T1412" s="12"/>
      <c r="U1412" s="10" t="str">
        <f>HYPERLINK("https://pbs.twimg.com/profile_images/1017891325029572608/lFqOkfFM.jpg","View")</f>
        <v>View</v>
      </c>
    </row>
    <row r="1413" spans="1:21" ht="40.799999999999997">
      <c r="A1413" s="6">
        <v>43425.493587962963</v>
      </c>
      <c r="B1413" s="7" t="str">
        <f>HYPERLINK("https://twitter.com/David220179","@David220179")</f>
        <v>@David220179</v>
      </c>
      <c r="C1413" s="8" t="s">
        <v>3458</v>
      </c>
      <c r="D1413" s="9" t="s">
        <v>3459</v>
      </c>
      <c r="E1413" s="10" t="str">
        <f>HYPERLINK("https://twitter.com/David220179/status/1065195809594114048","1065195809594114048")</f>
        <v>1065195809594114048</v>
      </c>
      <c r="F1413" s="16" t="s">
        <v>3460</v>
      </c>
      <c r="G1413" s="11" t="s">
        <v>3461</v>
      </c>
      <c r="H1413" s="12"/>
      <c r="I1413" s="13">
        <v>0</v>
      </c>
      <c r="J1413" s="13">
        <v>0</v>
      </c>
      <c r="K1413" s="14" t="str">
        <f>HYPERLINK("http://twitter.com/download/iphone","Twitter for iPhone")</f>
        <v>Twitter for iPhone</v>
      </c>
      <c r="L1413" s="13">
        <v>207</v>
      </c>
      <c r="M1413" s="13">
        <v>437</v>
      </c>
      <c r="N1413" s="13">
        <v>1</v>
      </c>
      <c r="O1413" s="15"/>
      <c r="P1413" s="6">
        <v>42611.046342592592</v>
      </c>
      <c r="Q1413" s="16" t="s">
        <v>3462</v>
      </c>
      <c r="R1413" s="17" t="s">
        <v>3463</v>
      </c>
      <c r="S1413" s="12"/>
      <c r="T1413" s="12"/>
      <c r="U1413" s="10" t="str">
        <f>HYPERLINK("https://pbs.twimg.com/profile_images/971377787264217088/i2nr470C.jpg","View")</f>
        <v>View</v>
      </c>
    </row>
    <row r="1414" spans="1:21" ht="51">
      <c r="A1414" s="6">
        <v>43425.492395833338</v>
      </c>
      <c r="B1414" s="7" t="str">
        <f>HYPERLINK("https://twitter.com/Wertyalord1","@Wertyalord1")</f>
        <v>@Wertyalord1</v>
      </c>
      <c r="C1414" s="8" t="s">
        <v>6516</v>
      </c>
      <c r="D1414" s="9" t="s">
        <v>6517</v>
      </c>
      <c r="E1414" s="10" t="str">
        <f>HYPERLINK("https://twitter.com/Wertyalord1/status/1065195377593331714","1065195377593331714")</f>
        <v>1065195377593331714</v>
      </c>
      <c r="F1414" s="12"/>
      <c r="G1414" s="12"/>
      <c r="H1414" s="12"/>
      <c r="I1414" s="13">
        <v>1</v>
      </c>
      <c r="J1414" s="13">
        <v>1</v>
      </c>
      <c r="K1414" s="14" t="str">
        <f>HYPERLINK("http://twitter.com/download/android","Twitter for Android")</f>
        <v>Twitter for Android</v>
      </c>
      <c r="L1414" s="13">
        <v>4591</v>
      </c>
      <c r="M1414" s="13">
        <v>3215</v>
      </c>
      <c r="N1414" s="13">
        <v>102</v>
      </c>
      <c r="O1414" s="15"/>
      <c r="P1414" s="6">
        <v>41363.48951388889</v>
      </c>
      <c r="Q1414" s="16" t="s">
        <v>6518</v>
      </c>
      <c r="R1414" s="17" t="s">
        <v>6519</v>
      </c>
      <c r="S1414" s="12"/>
      <c r="T1414" s="12"/>
      <c r="U1414" s="10" t="str">
        <f>HYPERLINK("https://pbs.twimg.com/profile_images/1003671021361205249/sAzGWgYk.jpg","View")</f>
        <v>View</v>
      </c>
    </row>
    <row r="1415" spans="1:21" ht="40.799999999999997">
      <c r="A1415" s="6">
        <v>43425.491249999999</v>
      </c>
      <c r="B1415" s="7" t="str">
        <f>HYPERLINK("https://twitter.com/votacanciones","@votacanciones")</f>
        <v>@votacanciones</v>
      </c>
      <c r="C1415" s="8" t="s">
        <v>6088</v>
      </c>
      <c r="D1415" s="9" t="s">
        <v>6520</v>
      </c>
      <c r="E1415" s="10" t="str">
        <f>HYPERLINK("https://twitter.com/votacanciones/status/1065194965838557185","1065194965838557185")</f>
        <v>1065194965838557185</v>
      </c>
      <c r="F1415" s="12"/>
      <c r="G1415" s="12"/>
      <c r="H1415" s="12"/>
      <c r="I1415" s="13">
        <v>0</v>
      </c>
      <c r="J1415" s="13">
        <v>0</v>
      </c>
      <c r="K1415" s="14" t="str">
        <f>HYPERLINK("http://twitter.com","Twitter Web Client")</f>
        <v>Twitter Web Client</v>
      </c>
      <c r="L1415" s="13">
        <v>316</v>
      </c>
      <c r="M1415" s="13">
        <v>468</v>
      </c>
      <c r="N1415" s="13">
        <v>6</v>
      </c>
      <c r="O1415" s="15"/>
      <c r="P1415" s="6">
        <v>41240.912951388891</v>
      </c>
      <c r="Q1415" s="16" t="s">
        <v>662</v>
      </c>
      <c r="R1415" s="17" t="s">
        <v>6521</v>
      </c>
      <c r="S1415" s="11" t="s">
        <v>6522</v>
      </c>
      <c r="T1415" s="12"/>
      <c r="U1415" s="10" t="str">
        <f>HYPERLINK("https://pbs.twimg.com/profile_images/834182358215573504/jz-4e83B.jpg","View")</f>
        <v>View</v>
      </c>
    </row>
    <row r="1416" spans="1:21" ht="20.399999999999999">
      <c r="A1416" s="6">
        <v>43425.489930555559</v>
      </c>
      <c r="B1416" s="7" t="str">
        <f>HYPERLINK("https://twitter.com/Habelas_Hailas_","@Habelas_Hailas_")</f>
        <v>@Habelas_Hailas_</v>
      </c>
      <c r="C1416" s="8" t="s">
        <v>3464</v>
      </c>
      <c r="D1416" s="9" t="s">
        <v>3465</v>
      </c>
      <c r="E1416" s="10" t="str">
        <f>HYPERLINK("https://twitter.com/Habelas_Hailas_/status/1065194488086364160","1065194488086364160")</f>
        <v>1065194488086364160</v>
      </c>
      <c r="F1416" s="11" t="s">
        <v>3466</v>
      </c>
      <c r="G1416" s="12"/>
      <c r="H1416" s="12"/>
      <c r="I1416" s="13">
        <v>0</v>
      </c>
      <c r="J1416" s="13">
        <v>0</v>
      </c>
      <c r="K1416" s="14" t="str">
        <f>HYPERLINK("http://twitter.com/download/android","Twitter for Android")</f>
        <v>Twitter for Android</v>
      </c>
      <c r="L1416" s="13">
        <v>69</v>
      </c>
      <c r="M1416" s="13">
        <v>142</v>
      </c>
      <c r="N1416" s="13">
        <v>2</v>
      </c>
      <c r="O1416" s="15"/>
      <c r="P1416" s="6">
        <v>41133.939409722225</v>
      </c>
      <c r="Q1416" s="16" t="s">
        <v>3467</v>
      </c>
      <c r="R1416" s="17" t="s">
        <v>3468</v>
      </c>
      <c r="S1416" s="12"/>
      <c r="T1416" s="12"/>
      <c r="U1416" s="10" t="str">
        <f>HYPERLINK("https://pbs.twimg.com/profile_images/943563869863243777/AOw0VfNn.jpg","View")</f>
        <v>View</v>
      </c>
    </row>
    <row r="1417" spans="1:21" ht="40.799999999999997">
      <c r="A1417" s="6">
        <v>43425.489004629635</v>
      </c>
      <c r="B1417" s="7" t="str">
        <f>HYPERLINK("https://twitter.com/CsCongreso","@CsCongreso")</f>
        <v>@CsCongreso</v>
      </c>
      <c r="C1417" s="8" t="s">
        <v>468</v>
      </c>
      <c r="D1417" s="9" t="s">
        <v>3470</v>
      </c>
      <c r="E1417" s="10" t="str">
        <f>HYPERLINK("https://twitter.com/CsCongreso/status/1065194149698306049","1065194149698306049")</f>
        <v>1065194149698306049</v>
      </c>
      <c r="F1417" s="12"/>
      <c r="G1417" s="11" t="s">
        <v>3471</v>
      </c>
      <c r="H1417" s="12"/>
      <c r="I1417" s="13">
        <v>13</v>
      </c>
      <c r="J1417" s="13">
        <v>15</v>
      </c>
      <c r="K1417" s="14" t="str">
        <f>HYPERLINK("http://twitter.com","Twitter Web Client")</f>
        <v>Twitter Web Client</v>
      </c>
      <c r="L1417" s="13">
        <v>35433</v>
      </c>
      <c r="M1417" s="13">
        <v>10003</v>
      </c>
      <c r="N1417" s="13">
        <v>415</v>
      </c>
      <c r="O1417" s="18" t="s">
        <v>36</v>
      </c>
      <c r="P1417" s="6">
        <v>41533.434733796297</v>
      </c>
      <c r="Q1417" s="16" t="s">
        <v>37</v>
      </c>
      <c r="R1417" s="17" t="s">
        <v>472</v>
      </c>
      <c r="S1417" s="11" t="s">
        <v>473</v>
      </c>
      <c r="T1417" s="12"/>
      <c r="U1417" s="10" t="str">
        <f>HYPERLINK("https://pbs.twimg.com/profile_images/885163719302557696/v7WiRi0W.jpg","View")</f>
        <v>View</v>
      </c>
    </row>
    <row r="1418" spans="1:21" ht="51">
      <c r="A1418" s="6">
        <v>43425.488692129627</v>
      </c>
      <c r="B1418" s="7" t="str">
        <f>HYPERLINK("https://twitter.com/rocanrroller","@rocanrroller")</f>
        <v>@rocanrroller</v>
      </c>
      <c r="C1418" s="8" t="s">
        <v>6523</v>
      </c>
      <c r="D1418" s="9" t="s">
        <v>6524</v>
      </c>
      <c r="E1418" s="10" t="str">
        <f>HYPERLINK("https://twitter.com/rocanrroller/status/1065194036389138432","1065194036389138432")</f>
        <v>1065194036389138432</v>
      </c>
      <c r="F1418" s="12"/>
      <c r="G1418" s="12"/>
      <c r="H1418" s="12"/>
      <c r="I1418" s="13">
        <v>0</v>
      </c>
      <c r="J1418" s="13">
        <v>3</v>
      </c>
      <c r="K1418" s="14" t="str">
        <f>HYPERLINK("https://mobile.twitter.com","Twitter Lite")</f>
        <v>Twitter Lite</v>
      </c>
      <c r="L1418" s="13">
        <v>195</v>
      </c>
      <c r="M1418" s="13">
        <v>538</v>
      </c>
      <c r="N1418" s="13">
        <v>0</v>
      </c>
      <c r="O1418" s="15"/>
      <c r="P1418" s="6">
        <v>43390.909907407404</v>
      </c>
      <c r="Q1418" s="16" t="s">
        <v>37</v>
      </c>
      <c r="R1418" s="17" t="s">
        <v>6525</v>
      </c>
      <c r="S1418" s="12"/>
      <c r="T1418" s="12"/>
      <c r="U1418" s="10" t="str">
        <f>HYPERLINK("https://pbs.twimg.com/profile_images/1059499118672908288/UHfoY9Pr.jpg","View")</f>
        <v>View</v>
      </c>
    </row>
    <row r="1419" spans="1:21" ht="30.6">
      <c r="A1419" s="6">
        <v>43425.487986111111</v>
      </c>
      <c r="B1419" s="7" t="str">
        <f>HYPERLINK("https://twitter.com/enjakeETB","@enjakeETB")</f>
        <v>@enjakeETB</v>
      </c>
      <c r="C1419" s="8" t="s">
        <v>3473</v>
      </c>
      <c r="D1419" s="9" t="s">
        <v>3474</v>
      </c>
      <c r="E1419" s="10" t="str">
        <f>HYPERLINK("https://twitter.com/enjakeETB/status/1065193779387400193","1065193779387400193")</f>
        <v>1065193779387400193</v>
      </c>
      <c r="F1419" s="11" t="s">
        <v>3475</v>
      </c>
      <c r="G1419" s="11" t="s">
        <v>3476</v>
      </c>
      <c r="H1419" s="12"/>
      <c r="I1419" s="13">
        <v>1</v>
      </c>
      <c r="J1419" s="13">
        <v>2</v>
      </c>
      <c r="K1419" s="14" t="str">
        <f>HYPERLINK("https://about.twitter.com/products/tweetdeck","TweetDeck")</f>
        <v>TweetDeck</v>
      </c>
      <c r="L1419" s="13">
        <v>3757</v>
      </c>
      <c r="M1419" s="13">
        <v>240</v>
      </c>
      <c r="N1419" s="13">
        <v>50</v>
      </c>
      <c r="O1419" s="15"/>
      <c r="P1419" s="6">
        <v>40206.661689814813</v>
      </c>
      <c r="Q1419" s="16" t="s">
        <v>3478</v>
      </c>
      <c r="R1419" s="17" t="s">
        <v>3479</v>
      </c>
      <c r="S1419" s="11" t="s">
        <v>3475</v>
      </c>
      <c r="T1419" s="12"/>
      <c r="U1419" s="10" t="str">
        <f>HYPERLINK("https://pbs.twimg.com/profile_images/1034371688136421376/rRWCNSOY.jpg","View")</f>
        <v>View</v>
      </c>
    </row>
    <row r="1420" spans="1:21" ht="30.6">
      <c r="A1420" s="6">
        <v>43425.487777777773</v>
      </c>
      <c r="B1420" s="7" t="str">
        <f>HYPERLINK("https://twitter.com/PJLM24","@PJLM24")</f>
        <v>@PJLM24</v>
      </c>
      <c r="C1420" s="8" t="s">
        <v>3480</v>
      </c>
      <c r="D1420" s="9" t="s">
        <v>3481</v>
      </c>
      <c r="E1420" s="10" t="str">
        <f>HYPERLINK("https://twitter.com/PJLM24/status/1065193705689235457","1065193705689235457")</f>
        <v>1065193705689235457</v>
      </c>
      <c r="F1420" s="12"/>
      <c r="G1420" s="12"/>
      <c r="H1420" s="12"/>
      <c r="I1420" s="13">
        <v>0</v>
      </c>
      <c r="J1420" s="13">
        <v>2</v>
      </c>
      <c r="K1420" s="14" t="str">
        <f t="shared" ref="K1420:K1421" si="288">HYPERLINK("http://twitter.com/download/iphone","Twitter for iPhone")</f>
        <v>Twitter for iPhone</v>
      </c>
      <c r="L1420" s="13">
        <v>144</v>
      </c>
      <c r="M1420" s="13">
        <v>113</v>
      </c>
      <c r="N1420" s="13">
        <v>0</v>
      </c>
      <c r="O1420" s="15"/>
      <c r="P1420" s="6">
        <v>41197.726805555554</v>
      </c>
      <c r="Q1420" s="12"/>
      <c r="R1420" s="17" t="s">
        <v>3482</v>
      </c>
      <c r="S1420" s="12"/>
      <c r="T1420" s="12"/>
      <c r="U1420" s="10" t="str">
        <f>HYPERLINK("https://pbs.twimg.com/profile_images/1064172162871894016/b2Oqoa7E.jpg","View")</f>
        <v>View</v>
      </c>
    </row>
    <row r="1421" spans="1:21" ht="30.6">
      <c r="A1421" s="6">
        <v>43425.486967592587</v>
      </c>
      <c r="B1421" s="7" t="str">
        <f>HYPERLINK("https://twitter.com/canyavsespanya","@canyavsespanya")</f>
        <v>@canyavsespanya</v>
      </c>
      <c r="C1421" s="8" t="s">
        <v>6526</v>
      </c>
      <c r="D1421" s="9" t="s">
        <v>6527</v>
      </c>
      <c r="E1421" s="10" t="str">
        <f>HYPERLINK("https://twitter.com/canyavsespanya/status/1065193411026829312","1065193411026829312")</f>
        <v>1065193411026829312</v>
      </c>
      <c r="F1421" s="12"/>
      <c r="G1421" s="12"/>
      <c r="H1421" s="12"/>
      <c r="I1421" s="13">
        <v>0</v>
      </c>
      <c r="J1421" s="13">
        <v>0</v>
      </c>
      <c r="K1421" s="14" t="str">
        <f t="shared" si="288"/>
        <v>Twitter for iPhone</v>
      </c>
      <c r="L1421" s="13">
        <v>42</v>
      </c>
      <c r="M1421" s="13">
        <v>256</v>
      </c>
      <c r="N1421" s="13">
        <v>0</v>
      </c>
      <c r="O1421" s="15"/>
      <c r="P1421" s="6">
        <v>43379.009664351848</v>
      </c>
      <c r="Q1421" s="16" t="s">
        <v>448</v>
      </c>
      <c r="R1421" s="17" t="s">
        <v>6528</v>
      </c>
      <c r="S1421" s="12"/>
      <c r="T1421" s="12"/>
      <c r="U1421" s="10" t="str">
        <f>HYPERLINK("https://pbs.twimg.com/profile_images/1048335763073634304/YFkjBShD.jpg","View")</f>
        <v>View</v>
      </c>
    </row>
    <row r="1422" spans="1:21" ht="30.6">
      <c r="A1422" s="6">
        <v>43425.486319444448</v>
      </c>
      <c r="B1422" s="7" t="str">
        <f>HYPERLINK("https://twitter.com/tthejohan","@tthejohan")</f>
        <v>@tthejohan</v>
      </c>
      <c r="C1422" s="8" t="s">
        <v>6529</v>
      </c>
      <c r="D1422" s="9" t="s">
        <v>6530</v>
      </c>
      <c r="E1422" s="10" t="str">
        <f>HYPERLINK("https://twitter.com/tthejohan/status/1065193177521553408","1065193177521553408")</f>
        <v>1065193177521553408</v>
      </c>
      <c r="F1422" s="11" t="s">
        <v>6531</v>
      </c>
      <c r="G1422" s="11" t="s">
        <v>65</v>
      </c>
      <c r="H1422" s="12"/>
      <c r="I1422" s="13">
        <v>0</v>
      </c>
      <c r="J1422" s="13">
        <v>2</v>
      </c>
      <c r="K1422" s="14" t="str">
        <f t="shared" ref="K1422:K1423" si="289">HYPERLINK("http://twitter.com","Twitter Web Client")</f>
        <v>Twitter Web Client</v>
      </c>
      <c r="L1422" s="13">
        <v>465</v>
      </c>
      <c r="M1422" s="13">
        <v>1181</v>
      </c>
      <c r="N1422" s="13">
        <v>5</v>
      </c>
      <c r="O1422" s="15"/>
      <c r="P1422" s="6">
        <v>40976.799479166664</v>
      </c>
      <c r="Q1422" s="16" t="s">
        <v>6532</v>
      </c>
      <c r="R1422" s="17" t="s">
        <v>6533</v>
      </c>
      <c r="S1422" s="12"/>
      <c r="T1422" s="12"/>
      <c r="U1422" s="10" t="str">
        <f>HYPERLINK("https://pbs.twimg.com/profile_images/1065299047119024128/j1vrO2Sd.jpg","View")</f>
        <v>View</v>
      </c>
    </row>
    <row r="1423" spans="1:21" ht="40.799999999999997">
      <c r="A1423" s="6">
        <v>43425.4846412037</v>
      </c>
      <c r="B1423" s="7" t="str">
        <f>HYPERLINK("https://twitter.com/Bernat_Castro","@Bernat_Castro")</f>
        <v>@Bernat_Castro</v>
      </c>
      <c r="C1423" s="8" t="s">
        <v>3647</v>
      </c>
      <c r="D1423" s="9" t="s">
        <v>6534</v>
      </c>
      <c r="E1423" s="10" t="str">
        <f>HYPERLINK("https://twitter.com/Bernat_Castro/status/1065192571029413888","1065192571029413888")</f>
        <v>1065192571029413888</v>
      </c>
      <c r="F1423" s="12"/>
      <c r="G1423" s="11" t="s">
        <v>65</v>
      </c>
      <c r="H1423" s="12"/>
      <c r="I1423" s="13">
        <v>153</v>
      </c>
      <c r="J1423" s="13">
        <v>183</v>
      </c>
      <c r="K1423" s="14" t="str">
        <f t="shared" si="289"/>
        <v>Twitter Web Client</v>
      </c>
      <c r="L1423" s="13">
        <v>42985</v>
      </c>
      <c r="M1423" s="13">
        <v>3005</v>
      </c>
      <c r="N1423" s="13">
        <v>132</v>
      </c>
      <c r="O1423" s="15"/>
      <c r="P1423" s="6">
        <v>43201.593715277777</v>
      </c>
      <c r="Q1423" s="16" t="s">
        <v>3652</v>
      </c>
      <c r="R1423" s="17" t="s">
        <v>3653</v>
      </c>
      <c r="S1423" s="11" t="s">
        <v>3654</v>
      </c>
      <c r="T1423" s="12"/>
      <c r="U1423" s="10" t="str">
        <f>HYPERLINK("https://pbs.twimg.com/profile_images/1059802564957483009/Cm2t_qW0.jpg","View")</f>
        <v>View</v>
      </c>
    </row>
    <row r="1424" spans="1:21" ht="71.400000000000006">
      <c r="A1424" s="6">
        <v>43425.483784722222</v>
      </c>
      <c r="B1424" s="7" t="str">
        <f>HYPERLINK("https://twitter.com/Alfonso_951","@Alfonso_951")</f>
        <v>@Alfonso_951</v>
      </c>
      <c r="C1424" s="8" t="s">
        <v>3483</v>
      </c>
      <c r="D1424" s="9" t="s">
        <v>3484</v>
      </c>
      <c r="E1424" s="10" t="str">
        <f>HYPERLINK("https://twitter.com/Alfonso_951/status/1065192260688625667","1065192260688625667")</f>
        <v>1065192260688625667</v>
      </c>
      <c r="F1424" s="16" t="s">
        <v>64</v>
      </c>
      <c r="G1424" s="11" t="s">
        <v>65</v>
      </c>
      <c r="H1424" s="12"/>
      <c r="I1424" s="13">
        <v>0</v>
      </c>
      <c r="J1424" s="13">
        <v>1</v>
      </c>
      <c r="K1424" s="14" t="str">
        <f>HYPERLINK("http://twitter.com/download/android","Twitter for Android")</f>
        <v>Twitter for Android</v>
      </c>
      <c r="L1424" s="13">
        <v>449</v>
      </c>
      <c r="M1424" s="13">
        <v>316</v>
      </c>
      <c r="N1424" s="13">
        <v>2</v>
      </c>
      <c r="O1424" s="15"/>
      <c r="P1424" s="6">
        <v>40911.841574074075</v>
      </c>
      <c r="Q1424" s="16" t="s">
        <v>3485</v>
      </c>
      <c r="R1424" s="17" t="s">
        <v>3486</v>
      </c>
      <c r="S1424" s="11" t="s">
        <v>3487</v>
      </c>
      <c r="T1424" s="12"/>
      <c r="U1424" s="10" t="str">
        <f>HYPERLINK("https://pbs.twimg.com/profile_images/864164623427174401/i4lnmIrB.jpg","View")</f>
        <v>View</v>
      </c>
    </row>
    <row r="1425" spans="1:21" ht="40.799999999999997">
      <c r="A1425" s="6">
        <v>43425.483206018514</v>
      </c>
      <c r="B1425" s="7" t="str">
        <f>HYPERLINK("https://twitter.com/pakaletes","@pakaletes")</f>
        <v>@pakaletes</v>
      </c>
      <c r="C1425" s="8" t="s">
        <v>3489</v>
      </c>
      <c r="D1425" s="9" t="s">
        <v>3490</v>
      </c>
      <c r="E1425" s="10" t="str">
        <f>HYPERLINK("https://twitter.com/pakaletes/status/1065192050348498944","1065192050348498944")</f>
        <v>1065192050348498944</v>
      </c>
      <c r="F1425" s="11" t="s">
        <v>2583</v>
      </c>
      <c r="G1425" s="12"/>
      <c r="H1425" s="12"/>
      <c r="I1425" s="13">
        <v>0</v>
      </c>
      <c r="J1425" s="13">
        <v>0</v>
      </c>
      <c r="K1425" s="14" t="str">
        <f t="shared" ref="K1425:K1426" si="290">HYPERLINK("http://twitter.com","Twitter Web Client")</f>
        <v>Twitter Web Client</v>
      </c>
      <c r="L1425" s="13">
        <v>389</v>
      </c>
      <c r="M1425" s="13">
        <v>1174</v>
      </c>
      <c r="N1425" s="13">
        <v>2</v>
      </c>
      <c r="O1425" s="15"/>
      <c r="P1425" s="6">
        <v>40461.966527777782</v>
      </c>
      <c r="Q1425" s="16" t="s">
        <v>3493</v>
      </c>
      <c r="R1425" s="19"/>
      <c r="S1425" s="11" t="s">
        <v>3494</v>
      </c>
      <c r="T1425" s="12"/>
      <c r="U1425" s="10" t="str">
        <f>HYPERLINK("https://pbs.twimg.com/profile_images/875095547060920321/keUgmUaK.jpg","View")</f>
        <v>View</v>
      </c>
    </row>
    <row r="1426" spans="1:21" ht="81.599999999999994">
      <c r="A1426" s="6">
        <v>43425.480752314819</v>
      </c>
      <c r="B1426" s="7" t="str">
        <f>HYPERLINK("https://twitter.com/JALONSOHISPANIA","@JALONSOHISPANIA")</f>
        <v>@JALONSOHISPANIA</v>
      </c>
      <c r="C1426" s="8" t="s">
        <v>3495</v>
      </c>
      <c r="D1426" s="9" t="s">
        <v>3496</v>
      </c>
      <c r="E1426" s="10" t="str">
        <f>HYPERLINK("https://twitter.com/JALONSOHISPANIA/status/1065191158853316608","1065191158853316608")</f>
        <v>1065191158853316608</v>
      </c>
      <c r="F1426" s="11" t="s">
        <v>3497</v>
      </c>
      <c r="G1426" s="12"/>
      <c r="H1426" s="12"/>
      <c r="I1426" s="13">
        <v>0</v>
      </c>
      <c r="J1426" s="13">
        <v>2</v>
      </c>
      <c r="K1426" s="14" t="str">
        <f t="shared" si="290"/>
        <v>Twitter Web Client</v>
      </c>
      <c r="L1426" s="13">
        <v>1642</v>
      </c>
      <c r="M1426" s="13">
        <v>5001</v>
      </c>
      <c r="N1426" s="13">
        <v>44</v>
      </c>
      <c r="O1426" s="15"/>
      <c r="P1426" s="6">
        <v>41641.957592592589</v>
      </c>
      <c r="Q1426" s="16" t="s">
        <v>3498</v>
      </c>
      <c r="R1426" s="17" t="s">
        <v>3499</v>
      </c>
      <c r="S1426" s="12"/>
      <c r="T1426" s="12"/>
      <c r="U1426" s="10" t="str">
        <f>HYPERLINK("https://pbs.twimg.com/profile_images/419790216946147328/daxhnzaa.jpeg","View")</f>
        <v>View</v>
      </c>
    </row>
    <row r="1427" spans="1:21" ht="30.6">
      <c r="A1427" s="6">
        <v>43425.48060185185</v>
      </c>
      <c r="B1427" s="7" t="str">
        <f>HYPERLINK("https://twitter.com/ajm74ajm","@ajm74ajm")</f>
        <v>@ajm74ajm</v>
      </c>
      <c r="C1427" s="8" t="s">
        <v>1376</v>
      </c>
      <c r="D1427" s="9" t="s">
        <v>4308</v>
      </c>
      <c r="E1427" s="10" t="str">
        <f>HYPERLINK("https://twitter.com/ajm74ajm/status/1065191104235143168","1065191104235143168")</f>
        <v>1065191104235143168</v>
      </c>
      <c r="F1427" s="11" t="s">
        <v>1228</v>
      </c>
      <c r="G1427" s="12"/>
      <c r="H1427" s="12"/>
      <c r="I1427" s="13">
        <v>1</v>
      </c>
      <c r="J1427" s="13">
        <v>1</v>
      </c>
      <c r="K1427" s="14" t="str">
        <f>HYPERLINK("http://twitter.com/download/iphone","Twitter for iPhone")</f>
        <v>Twitter for iPhone</v>
      </c>
      <c r="L1427" s="13">
        <v>620</v>
      </c>
      <c r="M1427" s="13">
        <v>704</v>
      </c>
      <c r="N1427" s="13">
        <v>3</v>
      </c>
      <c r="O1427" s="15"/>
      <c r="P1427" s="6">
        <v>42632.990706018521</v>
      </c>
      <c r="Q1427" s="16" t="s">
        <v>181</v>
      </c>
      <c r="R1427" s="17" t="s">
        <v>4359</v>
      </c>
      <c r="S1427" s="12"/>
      <c r="T1427" s="12"/>
      <c r="U1427" s="10" t="str">
        <f>HYPERLINK("https://pbs.twimg.com/profile_images/1014964583436574720/mJWiJwv9.jpg","View")</f>
        <v>View</v>
      </c>
    </row>
    <row r="1428" spans="1:21" ht="30.6">
      <c r="A1428" s="6">
        <v>43425.480034722219</v>
      </c>
      <c r="B1428" s="7" t="str">
        <f>HYPERLINK("https://twitter.com/CsRoquetasdeMar","@CsRoquetasdeMar")</f>
        <v>@CsRoquetasdeMar</v>
      </c>
      <c r="C1428" s="8" t="s">
        <v>863</v>
      </c>
      <c r="D1428" s="9" t="s">
        <v>3502</v>
      </c>
      <c r="E1428" s="10" t="str">
        <f>HYPERLINK("https://twitter.com/CsRoquetasdeMar/status/1065190899209183233","1065190899209183233")</f>
        <v>1065190899209183233</v>
      </c>
      <c r="F1428" s="11" t="s">
        <v>1812</v>
      </c>
      <c r="G1428" s="11" t="s">
        <v>3503</v>
      </c>
      <c r="H1428" s="12"/>
      <c r="I1428" s="13">
        <v>5</v>
      </c>
      <c r="J1428" s="13">
        <v>6</v>
      </c>
      <c r="K1428" s="14" t="str">
        <f>HYPERLINK("http://twitter.com/download/android","Twitter for Android")</f>
        <v>Twitter for Android</v>
      </c>
      <c r="L1428" s="13">
        <v>1963</v>
      </c>
      <c r="M1428" s="13">
        <v>866</v>
      </c>
      <c r="N1428" s="13">
        <v>32</v>
      </c>
      <c r="O1428" s="15"/>
      <c r="P1428" s="6">
        <v>41873.018761574072</v>
      </c>
      <c r="Q1428" s="16" t="s">
        <v>866</v>
      </c>
      <c r="R1428" s="17" t="s">
        <v>867</v>
      </c>
      <c r="S1428" s="11" t="s">
        <v>868</v>
      </c>
      <c r="T1428" s="12"/>
      <c r="U1428" s="10" t="str">
        <f>HYPERLINK("https://pbs.twimg.com/profile_images/899375488979927042/0OQvn6JM.jpg","View")</f>
        <v>View</v>
      </c>
    </row>
    <row r="1429" spans="1:21" ht="20.399999999999999">
      <c r="A1429" s="6">
        <v>43425.479479166665</v>
      </c>
      <c r="B1429" s="7" t="str">
        <f>HYPERLINK("https://twitter.com/mijack","@mijack")</f>
        <v>@mijack</v>
      </c>
      <c r="C1429" s="8" t="s">
        <v>6535</v>
      </c>
      <c r="D1429" s="9" t="s">
        <v>6536</v>
      </c>
      <c r="E1429" s="10" t="str">
        <f>HYPERLINK("https://twitter.com/mijack/status/1065190699010793472","1065190699010793472")</f>
        <v>1065190699010793472</v>
      </c>
      <c r="F1429" s="12"/>
      <c r="G1429" s="11" t="s">
        <v>6537</v>
      </c>
      <c r="H1429" s="12"/>
      <c r="I1429" s="13">
        <v>0</v>
      </c>
      <c r="J1429" s="13">
        <v>1</v>
      </c>
      <c r="K1429" s="14" t="str">
        <f>HYPERLINK("http://twitter.com","Twitter Web Client")</f>
        <v>Twitter Web Client</v>
      </c>
      <c r="L1429" s="13">
        <v>313</v>
      </c>
      <c r="M1429" s="13">
        <v>588</v>
      </c>
      <c r="N1429" s="13">
        <v>18</v>
      </c>
      <c r="O1429" s="15"/>
      <c r="P1429" s="6">
        <v>39429.871354166666</v>
      </c>
      <c r="Q1429" s="16" t="s">
        <v>1786</v>
      </c>
      <c r="R1429" s="17" t="s">
        <v>6538</v>
      </c>
      <c r="S1429" s="11" t="s">
        <v>6539</v>
      </c>
      <c r="T1429" s="12"/>
      <c r="U1429" s="10" t="str">
        <f>HYPERLINK("https://pbs.twimg.com/profile_images/587973270118334467/EjzH9Dpz.png","View")</f>
        <v>View</v>
      </c>
    </row>
    <row r="1430" spans="1:21" ht="51">
      <c r="A1430" s="6">
        <v>43425.478969907403</v>
      </c>
      <c r="B1430" s="7" t="str">
        <f>HYPERLINK("https://twitter.com/CiudadanosCs","@CiudadanosCs")</f>
        <v>@CiudadanosCs</v>
      </c>
      <c r="C1430" s="8" t="s">
        <v>196</v>
      </c>
      <c r="D1430" s="9" t="s">
        <v>3508</v>
      </c>
      <c r="E1430" s="10" t="str">
        <f>HYPERLINK("https://twitter.com/CiudadanosCs/status/1065190513966497793","1065190513966497793")</f>
        <v>1065190513966497793</v>
      </c>
      <c r="F1430" s="12"/>
      <c r="G1430" s="11" t="s">
        <v>3510</v>
      </c>
      <c r="H1430" s="12"/>
      <c r="I1430" s="13">
        <v>56</v>
      </c>
      <c r="J1430" s="13">
        <v>75</v>
      </c>
      <c r="K1430" s="14" t="str">
        <f>HYPERLINK("https://studio.twitter.com","Media Studio")</f>
        <v>Media Studio</v>
      </c>
      <c r="L1430" s="13">
        <v>486503</v>
      </c>
      <c r="M1430" s="13">
        <v>93653</v>
      </c>
      <c r="N1430" s="13">
        <v>3318</v>
      </c>
      <c r="O1430" s="18" t="s">
        <v>36</v>
      </c>
      <c r="P1430" s="6">
        <v>39828.753460648149</v>
      </c>
      <c r="Q1430" s="16" t="s">
        <v>37</v>
      </c>
      <c r="R1430" s="17" t="s">
        <v>202</v>
      </c>
      <c r="S1430" s="11" t="s">
        <v>203</v>
      </c>
      <c r="T1430" s="12"/>
      <c r="U1430" s="10" t="str">
        <f>HYPERLINK("https://pbs.twimg.com/profile_images/1053554096161075200/1z77_zBZ.jpg","View")</f>
        <v>View</v>
      </c>
    </row>
    <row r="1431" spans="1:21" ht="81.599999999999994">
      <c r="A1431" s="6">
        <v>43425.478263888886</v>
      </c>
      <c r="B1431" s="7" t="str">
        <f>HYPERLINK("https://twitter.com/MarioMR__","@MarioMR__")</f>
        <v>@MarioMR__</v>
      </c>
      <c r="C1431" s="8" t="s">
        <v>3513</v>
      </c>
      <c r="D1431" s="9" t="s">
        <v>3514</v>
      </c>
      <c r="E1431" s="10" t="str">
        <f>HYPERLINK("https://twitter.com/MarioMR__/status/1065190258759864321","1065190258759864321")</f>
        <v>1065190258759864321</v>
      </c>
      <c r="F1431" s="16" t="s">
        <v>2623</v>
      </c>
      <c r="G1431" s="11" t="s">
        <v>65</v>
      </c>
      <c r="H1431" s="12"/>
      <c r="I1431" s="13">
        <v>0</v>
      </c>
      <c r="J1431" s="13">
        <v>1</v>
      </c>
      <c r="K1431" s="14" t="str">
        <f>HYPERLINK("http://twitter.com/download/android","Twitter for Android")</f>
        <v>Twitter for Android</v>
      </c>
      <c r="L1431" s="13">
        <v>75</v>
      </c>
      <c r="M1431" s="13">
        <v>253</v>
      </c>
      <c r="N1431" s="13">
        <v>0</v>
      </c>
      <c r="O1431" s="15"/>
      <c r="P1431" s="6">
        <v>43342.57613425926</v>
      </c>
      <c r="Q1431" s="16" t="s">
        <v>106</v>
      </c>
      <c r="R1431" s="17" t="s">
        <v>3515</v>
      </c>
      <c r="S1431" s="12"/>
      <c r="T1431" s="12"/>
      <c r="U1431" s="10" t="str">
        <f>HYPERLINK("https://pbs.twimg.com/profile_images/1035926982859612160/gx7nCc3F.jpg","View")</f>
        <v>View</v>
      </c>
    </row>
    <row r="1432" spans="1:21" ht="71.400000000000006">
      <c r="A1432" s="6">
        <v>43425.47819444444</v>
      </c>
      <c r="B1432" s="7" t="str">
        <f>HYPERLINK("https://twitter.com/EduardoFRub","@EduardoFRub")</f>
        <v>@EduardoFRub</v>
      </c>
      <c r="C1432" s="8" t="s">
        <v>3518</v>
      </c>
      <c r="D1432" s="9" t="s">
        <v>3519</v>
      </c>
      <c r="E1432" s="10" t="str">
        <f>HYPERLINK("https://twitter.com/EduardoFRub/status/1065190231979294720","1065190231979294720")</f>
        <v>1065190231979294720</v>
      </c>
      <c r="F1432" s="16" t="s">
        <v>3520</v>
      </c>
      <c r="G1432" s="11" t="s">
        <v>65</v>
      </c>
      <c r="H1432" s="12"/>
      <c r="I1432" s="13">
        <v>29</v>
      </c>
      <c r="J1432" s="13">
        <v>37</v>
      </c>
      <c r="K1432" s="14" t="str">
        <f>HYPERLINK("http://twitter.com/download/iphone","Twitter for iPhone")</f>
        <v>Twitter for iPhone</v>
      </c>
      <c r="L1432" s="13">
        <v>17530</v>
      </c>
      <c r="M1432" s="13">
        <v>4519</v>
      </c>
      <c r="N1432" s="13">
        <v>0</v>
      </c>
      <c r="O1432" s="18" t="s">
        <v>36</v>
      </c>
      <c r="P1432" s="6">
        <v>40778.661990740744</v>
      </c>
      <c r="Q1432" s="16" t="s">
        <v>496</v>
      </c>
      <c r="R1432" s="17" t="s">
        <v>3523</v>
      </c>
      <c r="S1432" s="11" t="s">
        <v>3524</v>
      </c>
      <c r="T1432" s="12"/>
      <c r="U1432" s="10" t="str">
        <f>HYPERLINK("https://pbs.twimg.com/profile_images/832175959696691200/HTbP4z0i.jpg","View")</f>
        <v>View</v>
      </c>
    </row>
    <row r="1433" spans="1:21" ht="40.799999999999997">
      <c r="A1433" s="6">
        <v>43425.477662037039</v>
      </c>
      <c r="B1433" s="7" t="str">
        <f>HYPERLINK("https://twitter.com/Carles1951","@Carles1951")</f>
        <v>@Carles1951</v>
      </c>
      <c r="C1433" s="8" t="s">
        <v>6540</v>
      </c>
      <c r="D1433" s="9" t="s">
        <v>6541</v>
      </c>
      <c r="E1433" s="10" t="str">
        <f>HYPERLINK("https://twitter.com/Carles1951/status/1065190041402654722","1065190041402654722")</f>
        <v>1065190041402654722</v>
      </c>
      <c r="F1433" s="11" t="s">
        <v>6542</v>
      </c>
      <c r="G1433" s="12"/>
      <c r="H1433" s="12"/>
      <c r="I1433" s="13">
        <v>1</v>
      </c>
      <c r="J1433" s="13">
        <v>2</v>
      </c>
      <c r="K1433" s="14" t="str">
        <f>HYPERLINK("http://www.facebook.com/twitter","Facebook")</f>
        <v>Facebook</v>
      </c>
      <c r="L1433" s="13">
        <v>3293</v>
      </c>
      <c r="M1433" s="13">
        <v>4340</v>
      </c>
      <c r="N1433" s="13">
        <v>50</v>
      </c>
      <c r="O1433" s="15"/>
      <c r="P1433" s="6">
        <v>40249.767731481479</v>
      </c>
      <c r="Q1433" s="16" t="s">
        <v>4420</v>
      </c>
      <c r="R1433" s="17" t="s">
        <v>6543</v>
      </c>
      <c r="S1433" s="11" t="s">
        <v>6544</v>
      </c>
      <c r="T1433" s="12"/>
      <c r="U1433" s="10" t="str">
        <f>HYPERLINK("https://pbs.twimg.com/profile_images/680805848692690944/stXKIEXN.jpg","View")</f>
        <v>View</v>
      </c>
    </row>
    <row r="1434" spans="1:21" ht="40.799999999999997">
      <c r="A1434" s="6">
        <v>43425.476493055554</v>
      </c>
      <c r="B1434" s="7" t="str">
        <f>HYPERLINK("https://twitter.com/CiudadanosCs","@CiudadanosCs")</f>
        <v>@CiudadanosCs</v>
      </c>
      <c r="C1434" s="8" t="s">
        <v>196</v>
      </c>
      <c r="D1434" s="9" t="s">
        <v>3528</v>
      </c>
      <c r="E1434" s="10" t="str">
        <f>HYPERLINK("https://twitter.com/CiudadanosCs/status/1065189615471132672","1065189615471132672")</f>
        <v>1065189615471132672</v>
      </c>
      <c r="F1434" s="12"/>
      <c r="G1434" s="11" t="s">
        <v>3530</v>
      </c>
      <c r="H1434" s="12"/>
      <c r="I1434" s="13">
        <v>23</v>
      </c>
      <c r="J1434" s="13">
        <v>30</v>
      </c>
      <c r="K1434" s="14" t="str">
        <f>HYPERLINK("https://studio.twitter.com","Media Studio")</f>
        <v>Media Studio</v>
      </c>
      <c r="L1434" s="13">
        <v>486503</v>
      </c>
      <c r="M1434" s="13">
        <v>93653</v>
      </c>
      <c r="N1434" s="13">
        <v>3318</v>
      </c>
      <c r="O1434" s="18" t="s">
        <v>36</v>
      </c>
      <c r="P1434" s="6">
        <v>39828.753460648149</v>
      </c>
      <c r="Q1434" s="16" t="s">
        <v>37</v>
      </c>
      <c r="R1434" s="17" t="s">
        <v>202</v>
      </c>
      <c r="S1434" s="11" t="s">
        <v>203</v>
      </c>
      <c r="T1434" s="12"/>
      <c r="U1434" s="10" t="str">
        <f>HYPERLINK("https://pbs.twimg.com/profile_images/1053554096161075200/1z77_zBZ.jpg","View")</f>
        <v>View</v>
      </c>
    </row>
    <row r="1435" spans="1:21" ht="51">
      <c r="A1435" s="6">
        <v>43425.476400462961</v>
      </c>
      <c r="B1435" s="7" t="str">
        <f>HYPERLINK("https://twitter.com/AJLeftist","@AJLeftist")</f>
        <v>@AJLeftist</v>
      </c>
      <c r="C1435" s="8" t="s">
        <v>6545</v>
      </c>
      <c r="D1435" s="9" t="s">
        <v>6546</v>
      </c>
      <c r="E1435" s="10" t="str">
        <f>HYPERLINK("https://twitter.com/AJLeftist/status/1065189584349405184","1065189584349405184")</f>
        <v>1065189584349405184</v>
      </c>
      <c r="F1435" s="12"/>
      <c r="G1435" s="12"/>
      <c r="H1435" s="12"/>
      <c r="I1435" s="13">
        <v>1</v>
      </c>
      <c r="J1435" s="13">
        <v>3</v>
      </c>
      <c r="K1435" s="14" t="str">
        <f>HYPERLINK("http://twitter.com/download/android","Twitter for Android")</f>
        <v>Twitter for Android</v>
      </c>
      <c r="L1435" s="13">
        <v>790</v>
      </c>
      <c r="M1435" s="13">
        <v>799</v>
      </c>
      <c r="N1435" s="13">
        <v>26</v>
      </c>
      <c r="O1435" s="15"/>
      <c r="P1435" s="6">
        <v>39454.749780092592</v>
      </c>
      <c r="Q1435" s="16" t="s">
        <v>496</v>
      </c>
      <c r="R1435" s="17" t="s">
        <v>6547</v>
      </c>
      <c r="S1435" s="12"/>
      <c r="T1435" s="12"/>
      <c r="U1435" s="10" t="str">
        <f>HYPERLINK("https://pbs.twimg.com/profile_images/921751095323619329/8HNNRdHT.jpg","View")</f>
        <v>View</v>
      </c>
    </row>
    <row r="1436" spans="1:21" ht="40.799999999999997">
      <c r="A1436" s="6">
        <v>43425.475648148145</v>
      </c>
      <c r="B1436" s="7" t="str">
        <f>HYPERLINK("https://twitter.com/TitoGomito","@TitoGomito")</f>
        <v>@TitoGomito</v>
      </c>
      <c r="C1436" s="8" t="s">
        <v>6548</v>
      </c>
      <c r="D1436" s="9" t="s">
        <v>6549</v>
      </c>
      <c r="E1436" s="10" t="str">
        <f>HYPERLINK("https://twitter.com/TitoGomito/status/1065189310465548288","1065189310465548288")</f>
        <v>1065189310465548288</v>
      </c>
      <c r="F1436" s="16" t="s">
        <v>64</v>
      </c>
      <c r="G1436" s="11" t="s">
        <v>65</v>
      </c>
      <c r="H1436" s="12"/>
      <c r="I1436" s="13">
        <v>0</v>
      </c>
      <c r="J1436" s="13">
        <v>0</v>
      </c>
      <c r="K1436" s="14" t="str">
        <f t="shared" ref="K1436:K1437" si="291">HYPERLINK("http://twitter.com/download/iphone","Twitter for iPhone")</f>
        <v>Twitter for iPhone</v>
      </c>
      <c r="L1436" s="13">
        <v>100</v>
      </c>
      <c r="M1436" s="13">
        <v>530</v>
      </c>
      <c r="N1436" s="13">
        <v>0</v>
      </c>
      <c r="O1436" s="15"/>
      <c r="P1436" s="6">
        <v>42162.553182870368</v>
      </c>
      <c r="Q1436" s="12"/>
      <c r="R1436" s="17" t="s">
        <v>6550</v>
      </c>
      <c r="S1436" s="12"/>
      <c r="T1436" s="12"/>
      <c r="U1436" s="10" t="str">
        <f>HYPERLINK("https://pbs.twimg.com/profile_images/1043055528174338048/pGD8nduk.jpg","View")</f>
        <v>View</v>
      </c>
    </row>
    <row r="1437" spans="1:21" ht="40.799999999999997">
      <c r="A1437" s="6">
        <v>43425.474537037036</v>
      </c>
      <c r="B1437" s="7" t="str">
        <f>HYPERLINK("https://twitter.com/p_marcote","@p_marcote")</f>
        <v>@p_marcote</v>
      </c>
      <c r="C1437" s="8" t="s">
        <v>6551</v>
      </c>
      <c r="D1437" s="9" t="s">
        <v>6552</v>
      </c>
      <c r="E1437" s="10" t="str">
        <f>HYPERLINK("https://twitter.com/p_marcote/status/1065188907917156353","1065188907917156353")</f>
        <v>1065188907917156353</v>
      </c>
      <c r="F1437" s="12"/>
      <c r="G1437" s="11" t="s">
        <v>65</v>
      </c>
      <c r="H1437" s="12"/>
      <c r="I1437" s="13">
        <v>12</v>
      </c>
      <c r="J1437" s="13">
        <v>4</v>
      </c>
      <c r="K1437" s="14" t="str">
        <f t="shared" si="291"/>
        <v>Twitter for iPhone</v>
      </c>
      <c r="L1437" s="13">
        <v>9094</v>
      </c>
      <c r="M1437" s="13">
        <v>2823</v>
      </c>
      <c r="N1437" s="13">
        <v>147</v>
      </c>
      <c r="O1437" s="15"/>
      <c r="P1437" s="6">
        <v>40569.527615740742</v>
      </c>
      <c r="Q1437" s="16" t="s">
        <v>6553</v>
      </c>
      <c r="R1437" s="17" t="s">
        <v>6554</v>
      </c>
      <c r="S1437" s="12"/>
      <c r="T1437" s="12"/>
      <c r="U1437" s="10" t="str">
        <f>HYPERLINK("https://pbs.twimg.com/profile_images/1059825524279832578/wCGJk13w.jpg","View")</f>
        <v>View</v>
      </c>
    </row>
    <row r="1438" spans="1:21" ht="30.6">
      <c r="A1438" s="6">
        <v>43425.47347222222</v>
      </c>
      <c r="B1438" s="7" t="str">
        <f>HYPERLINK("https://twitter.com/Yo_Soy_Asin","@Yo_Soy_Asin")</f>
        <v>@Yo_Soy_Asin</v>
      </c>
      <c r="C1438" s="8" t="s">
        <v>2005</v>
      </c>
      <c r="D1438" s="9" t="s">
        <v>3532</v>
      </c>
      <c r="E1438" s="10" t="str">
        <f>HYPERLINK("https://twitter.com/Yo_Soy_Asin/status/1065188523525980160","1065188523525980160")</f>
        <v>1065188523525980160</v>
      </c>
      <c r="F1438" s="12"/>
      <c r="G1438" s="11" t="s">
        <v>3533</v>
      </c>
      <c r="H1438" s="12"/>
      <c r="I1438" s="13">
        <v>143</v>
      </c>
      <c r="J1438" s="13">
        <v>143</v>
      </c>
      <c r="K1438" s="14" t="str">
        <f>HYPERLINK("http://twitter.com/download/android","Twitter for Android")</f>
        <v>Twitter for Android</v>
      </c>
      <c r="L1438" s="13">
        <v>31333</v>
      </c>
      <c r="M1438" s="13">
        <v>8272</v>
      </c>
      <c r="N1438" s="13">
        <v>305</v>
      </c>
      <c r="O1438" s="15"/>
      <c r="P1438" s="6">
        <v>41967.764976851853</v>
      </c>
      <c r="Q1438" s="16" t="s">
        <v>2008</v>
      </c>
      <c r="R1438" s="17" t="s">
        <v>2009</v>
      </c>
      <c r="S1438" s="12"/>
      <c r="T1438" s="12"/>
      <c r="U1438" s="10" t="str">
        <f>HYPERLINK("https://pbs.twimg.com/profile_images/1048246938641059840/dCLHzACC.jpg","View")</f>
        <v>View</v>
      </c>
    </row>
    <row r="1439" spans="1:21" ht="40.799999999999997">
      <c r="A1439" s="6">
        <v>43425.473402777774</v>
      </c>
      <c r="B1439" s="7" t="str">
        <f>HYPERLINK("https://twitter.com/CiudadanosCs","@CiudadanosCs")</f>
        <v>@CiudadanosCs</v>
      </c>
      <c r="C1439" s="8" t="s">
        <v>196</v>
      </c>
      <c r="D1439" s="9" t="s">
        <v>3470</v>
      </c>
      <c r="E1439" s="10" t="str">
        <f>HYPERLINK("https://twitter.com/CiudadanosCs/status/1065188495575126016","1065188495575126016")</f>
        <v>1065188495575126016</v>
      </c>
      <c r="F1439" s="12"/>
      <c r="G1439" s="11" t="s">
        <v>3534</v>
      </c>
      <c r="H1439" s="12"/>
      <c r="I1439" s="13">
        <v>42</v>
      </c>
      <c r="J1439" s="13">
        <v>58</v>
      </c>
      <c r="K1439" s="14" t="str">
        <f>HYPERLINK("https://studio.twitter.com","Media Studio")</f>
        <v>Media Studio</v>
      </c>
      <c r="L1439" s="13">
        <v>486503</v>
      </c>
      <c r="M1439" s="13">
        <v>93653</v>
      </c>
      <c r="N1439" s="13">
        <v>3318</v>
      </c>
      <c r="O1439" s="18" t="s">
        <v>36</v>
      </c>
      <c r="P1439" s="6">
        <v>39828.753460648149</v>
      </c>
      <c r="Q1439" s="16" t="s">
        <v>37</v>
      </c>
      <c r="R1439" s="17" t="s">
        <v>202</v>
      </c>
      <c r="S1439" s="11" t="s">
        <v>203</v>
      </c>
      <c r="T1439" s="12"/>
      <c r="U1439" s="10" t="str">
        <f>HYPERLINK("https://pbs.twimg.com/profile_images/1053554096161075200/1z77_zBZ.jpg","View")</f>
        <v>View</v>
      </c>
    </row>
    <row r="1440" spans="1:21" ht="61.2">
      <c r="A1440" s="6">
        <v>43425.473287037035</v>
      </c>
      <c r="B1440" s="7" t="str">
        <f>HYPERLINK("https://twitter.com/pheloponeso","@pheloponeso")</f>
        <v>@pheloponeso</v>
      </c>
      <c r="C1440" s="8" t="s">
        <v>2695</v>
      </c>
      <c r="D1440" s="9" t="s">
        <v>3535</v>
      </c>
      <c r="E1440" s="10" t="str">
        <f>HYPERLINK("https://twitter.com/pheloponeso/status/1065188456006017024","1065188456006017024")</f>
        <v>1065188456006017024</v>
      </c>
      <c r="F1440" s="12"/>
      <c r="G1440" s="12"/>
      <c r="H1440" s="12"/>
      <c r="I1440" s="13">
        <v>0</v>
      </c>
      <c r="J1440" s="13">
        <v>1</v>
      </c>
      <c r="K1440" s="14" t="str">
        <f>HYPERLINK("http://twitter.com","Twitter Web Client")</f>
        <v>Twitter Web Client</v>
      </c>
      <c r="L1440" s="13">
        <v>3126</v>
      </c>
      <c r="M1440" s="13">
        <v>4423</v>
      </c>
      <c r="N1440" s="13">
        <v>23</v>
      </c>
      <c r="O1440" s="15"/>
      <c r="P1440" s="6">
        <v>40265.508645833332</v>
      </c>
      <c r="Q1440" s="16" t="s">
        <v>662</v>
      </c>
      <c r="R1440" s="17" t="s">
        <v>2697</v>
      </c>
      <c r="S1440" s="12"/>
      <c r="T1440" s="12"/>
      <c r="U1440" s="10" t="str">
        <f>HYPERLINK("https://pbs.twimg.com/profile_images/820967403135913984/bVnAo7Sc.jpg","View")</f>
        <v>View</v>
      </c>
    </row>
    <row r="1441" spans="1:21" ht="51">
      <c r="A1441" s="6">
        <v>43425.472997685181</v>
      </c>
      <c r="B1441" s="7" t="str">
        <f t="shared" ref="B1441:B1442" si="292">HYPERLINK("https://twitter.com/CiudadanosCs","@CiudadanosCs")</f>
        <v>@CiudadanosCs</v>
      </c>
      <c r="C1441" s="8" t="s">
        <v>196</v>
      </c>
      <c r="D1441" s="9" t="s">
        <v>3536</v>
      </c>
      <c r="E1441" s="10" t="str">
        <f>HYPERLINK("https://twitter.com/CiudadanosCs/status/1065188349315637250","1065188349315637250")</f>
        <v>1065188349315637250</v>
      </c>
      <c r="F1441" s="12"/>
      <c r="G1441" s="11" t="s">
        <v>3537</v>
      </c>
      <c r="H1441" s="12"/>
      <c r="I1441" s="13">
        <v>27</v>
      </c>
      <c r="J1441" s="13">
        <v>35</v>
      </c>
      <c r="K1441" s="14" t="str">
        <f t="shared" ref="K1441:K1442" si="293">HYPERLINK("https://studio.twitter.com","Media Studio")</f>
        <v>Media Studio</v>
      </c>
      <c r="L1441" s="13">
        <v>486503</v>
      </c>
      <c r="M1441" s="13">
        <v>93653</v>
      </c>
      <c r="N1441" s="13">
        <v>3318</v>
      </c>
      <c r="O1441" s="18" t="s">
        <v>36</v>
      </c>
      <c r="P1441" s="6">
        <v>39828.753460648149</v>
      </c>
      <c r="Q1441" s="16" t="s">
        <v>37</v>
      </c>
      <c r="R1441" s="17" t="s">
        <v>202</v>
      </c>
      <c r="S1441" s="11" t="s">
        <v>203</v>
      </c>
      <c r="T1441" s="12"/>
      <c r="U1441" s="10" t="str">
        <f t="shared" ref="U1441:U1442" si="294">HYPERLINK("https://pbs.twimg.com/profile_images/1053554096161075200/1z77_zBZ.jpg","View")</f>
        <v>View</v>
      </c>
    </row>
    <row r="1442" spans="1:21" ht="51">
      <c r="A1442" s="6">
        <v>43425.472696759258</v>
      </c>
      <c r="B1442" s="7" t="str">
        <f t="shared" si="292"/>
        <v>@CiudadanosCs</v>
      </c>
      <c r="C1442" s="8" t="s">
        <v>196</v>
      </c>
      <c r="D1442" s="9" t="s">
        <v>3538</v>
      </c>
      <c r="E1442" s="10" t="str">
        <f>HYPERLINK("https://twitter.com/CiudadanosCs/status/1065188239093440512","1065188239093440512")</f>
        <v>1065188239093440512</v>
      </c>
      <c r="F1442" s="12"/>
      <c r="G1442" s="11" t="s">
        <v>3539</v>
      </c>
      <c r="H1442" s="12"/>
      <c r="I1442" s="13">
        <v>13</v>
      </c>
      <c r="J1442" s="13">
        <v>18</v>
      </c>
      <c r="K1442" s="14" t="str">
        <f t="shared" si="293"/>
        <v>Media Studio</v>
      </c>
      <c r="L1442" s="13">
        <v>486503</v>
      </c>
      <c r="M1442" s="13">
        <v>93653</v>
      </c>
      <c r="N1442" s="13">
        <v>3318</v>
      </c>
      <c r="O1442" s="18" t="s">
        <v>36</v>
      </c>
      <c r="P1442" s="6">
        <v>39828.753460648149</v>
      </c>
      <c r="Q1442" s="16" t="s">
        <v>37</v>
      </c>
      <c r="R1442" s="17" t="s">
        <v>202</v>
      </c>
      <c r="S1442" s="11" t="s">
        <v>203</v>
      </c>
      <c r="T1442" s="12"/>
      <c r="U1442" s="10" t="str">
        <f t="shared" si="294"/>
        <v>View</v>
      </c>
    </row>
    <row r="1443" spans="1:21" ht="30.6">
      <c r="A1443" s="6">
        <v>43425.471759259264</v>
      </c>
      <c r="B1443" s="7" t="str">
        <f>HYPERLINK("https://twitter.com/Cs_Tenerife","@Cs_Tenerife")</f>
        <v>@Cs_Tenerife</v>
      </c>
      <c r="C1443" s="8" t="s">
        <v>342</v>
      </c>
      <c r="D1443" s="9" t="s">
        <v>3543</v>
      </c>
      <c r="E1443" s="10" t="str">
        <f>HYPERLINK("https://twitter.com/Cs_Tenerife/status/1065187899711414272","1065187899711414272")</f>
        <v>1065187899711414272</v>
      </c>
      <c r="F1443" s="11" t="s">
        <v>3545</v>
      </c>
      <c r="G1443" s="12"/>
      <c r="H1443" s="12"/>
      <c r="I1443" s="13">
        <v>0</v>
      </c>
      <c r="J1443" s="13">
        <v>1</v>
      </c>
      <c r="K1443" s="14" t="str">
        <f t="shared" ref="K1443:K1444" si="295">HYPERLINK("http://twitter.com","Twitter Web Client")</f>
        <v>Twitter Web Client</v>
      </c>
      <c r="L1443" s="13">
        <v>308</v>
      </c>
      <c r="M1443" s="13">
        <v>409</v>
      </c>
      <c r="N1443" s="13">
        <v>2</v>
      </c>
      <c r="O1443" s="15"/>
      <c r="P1443" s="6">
        <v>43006.477256944447</v>
      </c>
      <c r="Q1443" s="16" t="s">
        <v>208</v>
      </c>
      <c r="R1443" s="17" t="s">
        <v>345</v>
      </c>
      <c r="S1443" s="11" t="s">
        <v>346</v>
      </c>
      <c r="T1443" s="12"/>
      <c r="U1443" s="10" t="str">
        <f>HYPERLINK("https://pbs.twimg.com/profile_images/913334716803186688/AFUK2T9e.jpg","View")</f>
        <v>View</v>
      </c>
    </row>
    <row r="1444" spans="1:21" ht="30.6">
      <c r="A1444" s="6">
        <v>43425.471435185187</v>
      </c>
      <c r="B1444" s="7" t="str">
        <f>HYPERLINK("https://twitter.com/nosolotoni","@nosolotoni")</f>
        <v>@nosolotoni</v>
      </c>
      <c r="C1444" s="8" t="s">
        <v>6555</v>
      </c>
      <c r="D1444" s="9" t="s">
        <v>6556</v>
      </c>
      <c r="E1444" s="10" t="str">
        <f>HYPERLINK("https://twitter.com/nosolotoni/status/1065187784602906624","1065187784602906624")</f>
        <v>1065187784602906624</v>
      </c>
      <c r="F1444" s="11" t="s">
        <v>6557</v>
      </c>
      <c r="G1444" s="12"/>
      <c r="H1444" s="12"/>
      <c r="I1444" s="13">
        <v>0</v>
      </c>
      <c r="J1444" s="13">
        <v>0</v>
      </c>
      <c r="K1444" s="14" t="str">
        <f t="shared" si="295"/>
        <v>Twitter Web Client</v>
      </c>
      <c r="L1444" s="13">
        <v>717</v>
      </c>
      <c r="M1444" s="13">
        <v>616</v>
      </c>
      <c r="N1444" s="13">
        <v>22</v>
      </c>
      <c r="O1444" s="15"/>
      <c r="P1444" s="6">
        <v>40624.398298611108</v>
      </c>
      <c r="Q1444" s="16" t="s">
        <v>2216</v>
      </c>
      <c r="R1444" s="17" t="s">
        <v>6558</v>
      </c>
      <c r="S1444" s="12"/>
      <c r="T1444" s="12"/>
      <c r="U1444" s="10" t="str">
        <f>HYPERLINK("https://pbs.twimg.com/profile_images/1017676028838326272/5sa3nhyb.jpg","View")</f>
        <v>View</v>
      </c>
    </row>
    <row r="1445" spans="1:21" ht="51">
      <c r="A1445" s="6">
        <v>43425.471342592587</v>
      </c>
      <c r="B1445" s="7" t="str">
        <f>HYPERLINK("https://twitter.com/EstTartessica","@EstTartessica")</f>
        <v>@EstTartessica</v>
      </c>
      <c r="C1445" s="29" t="s">
        <v>6559</v>
      </c>
      <c r="D1445" s="9" t="s">
        <v>6560</v>
      </c>
      <c r="E1445" s="10" t="str">
        <f>HYPERLINK("https://twitter.com/EstTartessica/status/1065187750209617921","1065187750209617921")</f>
        <v>1065187750209617921</v>
      </c>
      <c r="F1445" s="12"/>
      <c r="G1445" s="12"/>
      <c r="H1445" s="12"/>
      <c r="I1445" s="13">
        <v>0</v>
      </c>
      <c r="J1445" s="13">
        <v>0</v>
      </c>
      <c r="K1445" s="14" t="str">
        <f>HYPERLINK("https://mobile.twitter.com","Twitter Lite")</f>
        <v>Twitter Lite</v>
      </c>
      <c r="L1445" s="13">
        <v>186</v>
      </c>
      <c r="M1445" s="13">
        <v>871</v>
      </c>
      <c r="N1445" s="13">
        <v>2</v>
      </c>
      <c r="O1445" s="15"/>
      <c r="P1445" s="6">
        <v>43267.836319444439</v>
      </c>
      <c r="Q1445" s="16" t="s">
        <v>6561</v>
      </c>
      <c r="R1445" s="17" t="s">
        <v>6562</v>
      </c>
      <c r="S1445" s="12"/>
      <c r="T1445" s="12"/>
      <c r="U1445" s="10" t="str">
        <f>HYPERLINK("https://pbs.twimg.com/profile_images/1022966515920986112/hijN6gOO.jpg","View")</f>
        <v>View</v>
      </c>
    </row>
    <row r="1446" spans="1:21" ht="51">
      <c r="A1446" s="6">
        <v>43425.470763888894</v>
      </c>
      <c r="B1446" s="7" t="str">
        <f>HYPERLINK("https://twitter.com/HectorRivero3","@HectorRivero3")</f>
        <v>@HectorRivero3</v>
      </c>
      <c r="C1446" s="8" t="s">
        <v>3549</v>
      </c>
      <c r="D1446" s="9" t="s">
        <v>3550</v>
      </c>
      <c r="E1446" s="10" t="str">
        <f>HYPERLINK("https://twitter.com/HectorRivero3/status/1065187539361955840","1065187539361955840")</f>
        <v>1065187539361955840</v>
      </c>
      <c r="F1446" s="11" t="s">
        <v>3554</v>
      </c>
      <c r="G1446" s="11" t="s">
        <v>3555</v>
      </c>
      <c r="H1446" s="12"/>
      <c r="I1446" s="13">
        <v>1</v>
      </c>
      <c r="J1446" s="13">
        <v>2</v>
      </c>
      <c r="K1446" s="14" t="str">
        <f>HYPERLINK("http://twitter.com","Twitter Web Client")</f>
        <v>Twitter Web Client</v>
      </c>
      <c r="L1446" s="13">
        <v>212</v>
      </c>
      <c r="M1446" s="13">
        <v>500</v>
      </c>
      <c r="N1446" s="13">
        <v>9</v>
      </c>
      <c r="O1446" s="15"/>
      <c r="P1446" s="6">
        <v>40714.607708333337</v>
      </c>
      <c r="Q1446" s="12"/>
      <c r="R1446" s="17" t="s">
        <v>3556</v>
      </c>
      <c r="S1446" s="12"/>
      <c r="T1446" s="12"/>
      <c r="U1446" s="10" t="str">
        <f>HYPERLINK("https://pbs.twimg.com/profile_images/1055780051285934082/fu8cZP_U.jpg","View")</f>
        <v>View</v>
      </c>
    </row>
    <row r="1447" spans="1:21" ht="61.2">
      <c r="A1447" s="6">
        <v>43425.467719907407</v>
      </c>
      <c r="B1447" s="7" t="str">
        <f>HYPERLINK("https://twitter.com/dsegoviaatienza","@dsegoviaatienza")</f>
        <v>@dsegoviaatienza</v>
      </c>
      <c r="C1447" s="8" t="s">
        <v>3251</v>
      </c>
      <c r="D1447" s="9" t="s">
        <v>3557</v>
      </c>
      <c r="E1447" s="10" t="str">
        <f>HYPERLINK("https://twitter.com/dsegoviaatienza/status/1065186436746551296","1065186436746551296")</f>
        <v>1065186436746551296</v>
      </c>
      <c r="F1447" s="16" t="s">
        <v>64</v>
      </c>
      <c r="G1447" s="11" t="s">
        <v>65</v>
      </c>
      <c r="H1447" s="12"/>
      <c r="I1447" s="13">
        <v>1</v>
      </c>
      <c r="J1447" s="13">
        <v>0</v>
      </c>
      <c r="K1447" s="14" t="str">
        <f t="shared" ref="K1447:K1448" si="296">HYPERLINK("http://twitter.com/download/android","Twitter for Android")</f>
        <v>Twitter for Android</v>
      </c>
      <c r="L1447" s="13">
        <v>190</v>
      </c>
      <c r="M1447" s="13">
        <v>945</v>
      </c>
      <c r="N1447" s="13">
        <v>1</v>
      </c>
      <c r="O1447" s="15"/>
      <c r="P1447" s="6">
        <v>40594.872002314813</v>
      </c>
      <c r="Q1447" s="16" t="s">
        <v>3253</v>
      </c>
      <c r="R1447" s="19"/>
      <c r="S1447" s="11" t="s">
        <v>3254</v>
      </c>
      <c r="T1447" s="12"/>
      <c r="U1447" s="10" t="str">
        <f>HYPERLINK("https://pbs.twimg.com/profile_images/1052880582974341120/qr6qYDKm.jpg","View")</f>
        <v>View</v>
      </c>
    </row>
    <row r="1448" spans="1:21" ht="51">
      <c r="A1448" s="6">
        <v>43425.466493055559</v>
      </c>
      <c r="B1448" s="7" t="str">
        <f>HYPERLINK("https://twitter.com/delmoralo","@delmoralo")</f>
        <v>@delmoralo</v>
      </c>
      <c r="C1448" s="8" t="s">
        <v>1329</v>
      </c>
      <c r="D1448" s="9" t="s">
        <v>3558</v>
      </c>
      <c r="E1448" s="10" t="str">
        <f>HYPERLINK("https://twitter.com/delmoralo/status/1065185994297802754","1065185994297802754")</f>
        <v>1065185994297802754</v>
      </c>
      <c r="F1448" s="12"/>
      <c r="G1448" s="12"/>
      <c r="H1448" s="12"/>
      <c r="I1448" s="13">
        <v>6</v>
      </c>
      <c r="J1448" s="13">
        <v>13</v>
      </c>
      <c r="K1448" s="14" t="str">
        <f t="shared" si="296"/>
        <v>Twitter for Android</v>
      </c>
      <c r="L1448" s="13">
        <v>2875</v>
      </c>
      <c r="M1448" s="13">
        <v>299</v>
      </c>
      <c r="N1448" s="13">
        <v>63</v>
      </c>
      <c r="O1448" s="15"/>
      <c r="P1448" s="6">
        <v>40406.843807870369</v>
      </c>
      <c r="Q1448" s="16" t="s">
        <v>1335</v>
      </c>
      <c r="R1448" s="17" t="s">
        <v>1336</v>
      </c>
      <c r="S1448" s="11" t="s">
        <v>1337</v>
      </c>
      <c r="T1448" s="12"/>
      <c r="U1448" s="10" t="str">
        <f>HYPERLINK("https://pbs.twimg.com/profile_images/1027698376077451264/ybqgwhYD.jpg","View")</f>
        <v>View</v>
      </c>
    </row>
    <row r="1449" spans="1:21" ht="20.399999999999999">
      <c r="A1449" s="6">
        <v>43425.466296296298</v>
      </c>
      <c r="B1449" s="7" t="str">
        <f>HYPERLINK("https://twitter.com/EsppeonzAguirre","@EsppeonzAguirre")</f>
        <v>@EsppeonzAguirre</v>
      </c>
      <c r="C1449" s="8" t="s">
        <v>6563</v>
      </c>
      <c r="D1449" s="9" t="s">
        <v>6564</v>
      </c>
      <c r="E1449" s="10" t="str">
        <f>HYPERLINK("https://twitter.com/EsppeonzAguirre/status/1065185919374888960","1065185919374888960")</f>
        <v>1065185919374888960</v>
      </c>
      <c r="F1449" s="12"/>
      <c r="G1449" s="11" t="s">
        <v>6565</v>
      </c>
      <c r="H1449" s="12"/>
      <c r="I1449" s="13">
        <v>3</v>
      </c>
      <c r="J1449" s="13">
        <v>5</v>
      </c>
      <c r="K1449" s="14" t="str">
        <f>HYPERLINK("http://twitter.com/download/iphone","Twitter for iPhone")</f>
        <v>Twitter for iPhone</v>
      </c>
      <c r="L1449" s="13">
        <v>72112</v>
      </c>
      <c r="M1449" s="13">
        <v>943</v>
      </c>
      <c r="N1449" s="13">
        <v>723</v>
      </c>
      <c r="O1449" s="15"/>
      <c r="P1449" s="6">
        <v>41010.222812499997</v>
      </c>
      <c r="Q1449" s="16" t="s">
        <v>6566</v>
      </c>
      <c r="R1449" s="17" t="s">
        <v>6567</v>
      </c>
      <c r="S1449" s="11" t="s">
        <v>6568</v>
      </c>
      <c r="T1449" s="12"/>
      <c r="U1449" s="10" t="str">
        <f>HYPERLINK("https://pbs.twimg.com/profile_images/942773093021384704/LRkjoyYo.jpg","View")</f>
        <v>View</v>
      </c>
    </row>
    <row r="1450" spans="1:21" ht="30.6">
      <c r="A1450" s="6">
        <v>43425.46503472222</v>
      </c>
      <c r="B1450" s="7" t="str">
        <f>HYPERLINK("https://twitter.com/compos24horas","@compos24horas")</f>
        <v>@compos24horas</v>
      </c>
      <c r="C1450" s="20" t="s">
        <v>3559</v>
      </c>
      <c r="D1450" s="9" t="s">
        <v>3560</v>
      </c>
      <c r="E1450" s="10" t="str">
        <f>HYPERLINK("https://twitter.com/compos24horas/status/1065185462317445121","1065185462317445121")</f>
        <v>1065185462317445121</v>
      </c>
      <c r="F1450" s="11" t="s">
        <v>3561</v>
      </c>
      <c r="G1450" s="12"/>
      <c r="H1450" s="12"/>
      <c r="I1450" s="13">
        <v>1</v>
      </c>
      <c r="J1450" s="13">
        <v>1</v>
      </c>
      <c r="K1450" s="14" t="str">
        <f>HYPERLINK("http://twitter.com","Twitter Web Client")</f>
        <v>Twitter Web Client</v>
      </c>
      <c r="L1450" s="13">
        <v>726</v>
      </c>
      <c r="M1450" s="13">
        <v>370</v>
      </c>
      <c r="N1450" s="13">
        <v>4</v>
      </c>
      <c r="O1450" s="15"/>
      <c r="P1450" s="6">
        <v>43109.804224537038</v>
      </c>
      <c r="Q1450" s="16" t="s">
        <v>3562</v>
      </c>
      <c r="R1450" s="17" t="s">
        <v>3563</v>
      </c>
      <c r="S1450" s="11" t="s">
        <v>3564</v>
      </c>
      <c r="T1450" s="12"/>
      <c r="U1450" s="10" t="str">
        <f>HYPERLINK("https://pbs.twimg.com/profile_images/958526261055447040/XgG_HVQB.jpg","View")</f>
        <v>View</v>
      </c>
    </row>
    <row r="1451" spans="1:21" ht="30.6">
      <c r="A1451" s="6">
        <v>43425.463645833333</v>
      </c>
      <c r="B1451" s="7" t="str">
        <f>HYPERLINK("https://twitter.com/AtticusUve","@AtticusUve")</f>
        <v>@AtticusUve</v>
      </c>
      <c r="C1451" s="8" t="s">
        <v>6569</v>
      </c>
      <c r="D1451" s="9" t="s">
        <v>6570</v>
      </c>
      <c r="E1451" s="10" t="str">
        <f>HYPERLINK("https://twitter.com/AtticusUve/status/1065184960162738176","1065184960162738176")</f>
        <v>1065184960162738176</v>
      </c>
      <c r="F1451" s="12"/>
      <c r="G1451" s="12"/>
      <c r="H1451" s="12"/>
      <c r="I1451" s="13">
        <v>0</v>
      </c>
      <c r="J1451" s="13">
        <v>0</v>
      </c>
      <c r="K1451" s="14" t="str">
        <f t="shared" ref="K1451:K1452" si="297">HYPERLINK("http://twitter.com/download/android","Twitter for Android")</f>
        <v>Twitter for Android</v>
      </c>
      <c r="L1451" s="13">
        <v>1632</v>
      </c>
      <c r="M1451" s="13">
        <v>1021</v>
      </c>
      <c r="N1451" s="13">
        <v>29</v>
      </c>
      <c r="O1451" s="15"/>
      <c r="P1451" s="6">
        <v>40968.856435185182</v>
      </c>
      <c r="Q1451" s="12"/>
      <c r="R1451" s="19"/>
      <c r="S1451" s="12"/>
      <c r="T1451" s="12"/>
      <c r="U1451" s="10" t="str">
        <f>HYPERLINK("https://pbs.twimg.com/profile_images/1909372771/balbo.jpg","View")</f>
        <v>View</v>
      </c>
    </row>
    <row r="1452" spans="1:21" ht="20.399999999999999">
      <c r="A1452" s="6">
        <v>43425.463136574079</v>
      </c>
      <c r="B1452" s="7" t="str">
        <f>HYPERLINK("https://twitter.com/CapitanApio","@CapitanApio")</f>
        <v>@CapitanApio</v>
      </c>
      <c r="C1452" s="8" t="s">
        <v>3565</v>
      </c>
      <c r="D1452" s="9" t="s">
        <v>3566</v>
      </c>
      <c r="E1452" s="10" t="str">
        <f>HYPERLINK("https://twitter.com/CapitanApio/status/1065184777513459718","1065184777513459718")</f>
        <v>1065184777513459718</v>
      </c>
      <c r="F1452" s="12"/>
      <c r="G1452" s="11" t="s">
        <v>3567</v>
      </c>
      <c r="H1452" s="12"/>
      <c r="I1452" s="13">
        <v>55</v>
      </c>
      <c r="J1452" s="13">
        <v>77</v>
      </c>
      <c r="K1452" s="14" t="str">
        <f t="shared" si="297"/>
        <v>Twitter for Android</v>
      </c>
      <c r="L1452" s="13">
        <v>2777</v>
      </c>
      <c r="M1452" s="13">
        <v>275</v>
      </c>
      <c r="N1452" s="13">
        <v>15</v>
      </c>
      <c r="O1452" s="15"/>
      <c r="P1452" s="6">
        <v>41849.57576388889</v>
      </c>
      <c r="Q1452" s="16" t="s">
        <v>3570</v>
      </c>
      <c r="R1452" s="17" t="s">
        <v>3571</v>
      </c>
      <c r="S1452" s="12"/>
      <c r="T1452" s="12"/>
      <c r="U1452" s="10" t="str">
        <f>HYPERLINK("https://pbs.twimg.com/profile_images/1030840877810417664/VWdzDE_K.jpg","View")</f>
        <v>View</v>
      </c>
    </row>
    <row r="1453" spans="1:21" ht="30.6">
      <c r="A1453" s="6">
        <v>43425.463009259256</v>
      </c>
      <c r="B1453" s="7" t="str">
        <f>HYPERLINK("https://twitter.com/antoniojmonge","@antoniojmonge")</f>
        <v>@antoniojmonge</v>
      </c>
      <c r="C1453" s="8" t="s">
        <v>3573</v>
      </c>
      <c r="D1453" s="9" t="s">
        <v>3574</v>
      </c>
      <c r="E1453" s="10" t="str">
        <f>HYPERLINK("https://twitter.com/antoniojmonge/status/1065184731644481536","1065184731644481536")</f>
        <v>1065184731644481536</v>
      </c>
      <c r="F1453" s="12"/>
      <c r="G1453" s="12"/>
      <c r="H1453" s="12"/>
      <c r="I1453" s="13">
        <v>0</v>
      </c>
      <c r="J1453" s="13">
        <v>0</v>
      </c>
      <c r="K1453" s="14" t="str">
        <f t="shared" ref="K1453:K1454" si="298">HYPERLINK("http://twitter.com","Twitter Web Client")</f>
        <v>Twitter Web Client</v>
      </c>
      <c r="L1453" s="13">
        <v>20</v>
      </c>
      <c r="M1453" s="13">
        <v>22</v>
      </c>
      <c r="N1453" s="13">
        <v>0</v>
      </c>
      <c r="O1453" s="15"/>
      <c r="P1453" s="6">
        <v>42050.591087962966</v>
      </c>
      <c r="Q1453" s="16" t="s">
        <v>3576</v>
      </c>
      <c r="R1453" s="17" t="s">
        <v>3577</v>
      </c>
      <c r="S1453" s="12"/>
      <c r="T1453" s="12"/>
      <c r="U1453" s="10" t="str">
        <f>HYPERLINK("https://pbs.twimg.com/profile_images/1017472643996545024/cm8f6fXb.jpg","View")</f>
        <v>View</v>
      </c>
    </row>
    <row r="1454" spans="1:21" ht="51">
      <c r="A1454" s="6">
        <v>43425.46157407407</v>
      </c>
      <c r="B1454" s="7" t="str">
        <f>HYPERLINK("https://twitter.com/IgnacioPareja","@IgnacioPareja")</f>
        <v>@IgnacioPareja</v>
      </c>
      <c r="C1454" s="8" t="s">
        <v>6571</v>
      </c>
      <c r="D1454" s="9" t="s">
        <v>6572</v>
      </c>
      <c r="E1454" s="10" t="str">
        <f>HYPERLINK("https://twitter.com/IgnacioPareja/status/1065184211932454912","1065184211932454912")</f>
        <v>1065184211932454912</v>
      </c>
      <c r="F1454" s="12"/>
      <c r="G1454" s="12"/>
      <c r="H1454" s="12"/>
      <c r="I1454" s="13">
        <v>2</v>
      </c>
      <c r="J1454" s="13">
        <v>4</v>
      </c>
      <c r="K1454" s="14" t="str">
        <f t="shared" si="298"/>
        <v>Twitter Web Client</v>
      </c>
      <c r="L1454" s="13">
        <v>656</v>
      </c>
      <c r="M1454" s="13">
        <v>688</v>
      </c>
      <c r="N1454" s="13">
        <v>0</v>
      </c>
      <c r="O1454" s="15"/>
      <c r="P1454" s="6">
        <v>43321.702627314815</v>
      </c>
      <c r="Q1454" s="16" t="s">
        <v>1460</v>
      </c>
      <c r="R1454" s="17" t="s">
        <v>6573</v>
      </c>
      <c r="S1454" s="12"/>
      <c r="T1454" s="12"/>
      <c r="U1454" s="10" t="str">
        <f>HYPERLINK("https://pbs.twimg.com/profile_images/1050791650157572097/xpZ2-jtU.jpg","View")</f>
        <v>View</v>
      </c>
    </row>
    <row r="1455" spans="1:21" ht="51">
      <c r="A1455" s="6">
        <v>43425.459722222222</v>
      </c>
      <c r="B1455" s="7" t="str">
        <f t="shared" ref="B1455:B1456" si="299">HYPERLINK("https://twitter.com/bitMomentum","@bitMomentum")</f>
        <v>@bitMomentum</v>
      </c>
      <c r="C1455" s="8" t="s">
        <v>706</v>
      </c>
      <c r="D1455" s="9" t="s">
        <v>3578</v>
      </c>
      <c r="E1455" s="10" t="str">
        <f>HYPERLINK("https://twitter.com/bitMomentum/status/1065183537798758400","1065183537798758400")</f>
        <v>1065183537798758400</v>
      </c>
      <c r="F1455" s="12"/>
      <c r="G1455" s="12"/>
      <c r="H1455" s="12"/>
      <c r="I1455" s="13">
        <v>0</v>
      </c>
      <c r="J1455" s="13">
        <v>0</v>
      </c>
      <c r="K1455" s="14" t="str">
        <f t="shared" ref="K1455:K1456" si="300">HYPERLINK("http://www.bitmomentum.com","bitMomentum Bot")</f>
        <v>bitMomentum Bot</v>
      </c>
      <c r="L1455" s="13">
        <v>10132</v>
      </c>
      <c r="M1455" s="13">
        <v>1060</v>
      </c>
      <c r="N1455" s="13">
        <v>262</v>
      </c>
      <c r="O1455" s="15"/>
      <c r="P1455" s="6">
        <v>41608.667511574073</v>
      </c>
      <c r="Q1455" s="12"/>
      <c r="R1455" s="17" t="s">
        <v>708</v>
      </c>
      <c r="S1455" s="11" t="s">
        <v>709</v>
      </c>
      <c r="T1455" s="12"/>
      <c r="U1455" s="10" t="str">
        <f t="shared" ref="U1455:U1456" si="301">HYPERLINK("https://pbs.twimg.com/profile_images/378800000862185241/20ij2H3u.png","View")</f>
        <v>View</v>
      </c>
    </row>
    <row r="1456" spans="1:21" ht="51">
      <c r="A1456" s="6">
        <v>43425.459027777775</v>
      </c>
      <c r="B1456" s="7" t="str">
        <f t="shared" si="299"/>
        <v>@bitMomentum</v>
      </c>
      <c r="C1456" s="8" t="s">
        <v>706</v>
      </c>
      <c r="D1456" s="9" t="s">
        <v>3581</v>
      </c>
      <c r="E1456" s="10" t="str">
        <f>HYPERLINK("https://twitter.com/bitMomentum/status/1065183285993648128","1065183285993648128")</f>
        <v>1065183285993648128</v>
      </c>
      <c r="F1456" s="12"/>
      <c r="G1456" s="12"/>
      <c r="H1456" s="12"/>
      <c r="I1456" s="13">
        <v>0</v>
      </c>
      <c r="J1456" s="13">
        <v>0</v>
      </c>
      <c r="K1456" s="14" t="str">
        <f t="shared" si="300"/>
        <v>bitMomentum Bot</v>
      </c>
      <c r="L1456" s="13">
        <v>10132</v>
      </c>
      <c r="M1456" s="13">
        <v>1060</v>
      </c>
      <c r="N1456" s="13">
        <v>262</v>
      </c>
      <c r="O1456" s="15"/>
      <c r="P1456" s="6">
        <v>41608.667511574073</v>
      </c>
      <c r="Q1456" s="12"/>
      <c r="R1456" s="17" t="s">
        <v>708</v>
      </c>
      <c r="S1456" s="11" t="s">
        <v>709</v>
      </c>
      <c r="T1456" s="12"/>
      <c r="U1456" s="10" t="str">
        <f t="shared" si="301"/>
        <v>View</v>
      </c>
    </row>
    <row r="1457" spans="1:21" ht="40.799999999999997">
      <c r="A1457" s="6">
        <v>43425.458750000005</v>
      </c>
      <c r="B1457" s="7" t="str">
        <f>HYPERLINK("https://twitter.com/jimenezjorge194","@jimenezjorge194")</f>
        <v>@jimenezjorge194</v>
      </c>
      <c r="C1457" s="8" t="s">
        <v>3582</v>
      </c>
      <c r="D1457" s="9" t="s">
        <v>3583</v>
      </c>
      <c r="E1457" s="10" t="str">
        <f>HYPERLINK("https://twitter.com/jimenezjorge194/status/1065183187352125440","1065183187352125440")</f>
        <v>1065183187352125440</v>
      </c>
      <c r="F1457" s="16" t="s">
        <v>3460</v>
      </c>
      <c r="G1457" s="11" t="s">
        <v>3461</v>
      </c>
      <c r="H1457" s="12"/>
      <c r="I1457" s="13">
        <v>0</v>
      </c>
      <c r="J1457" s="13">
        <v>0</v>
      </c>
      <c r="K1457" s="14" t="str">
        <f>HYPERLINK("http://twitter.com/download/android","Twitter for Android")</f>
        <v>Twitter for Android</v>
      </c>
      <c r="L1457" s="13">
        <v>146</v>
      </c>
      <c r="M1457" s="13">
        <v>201</v>
      </c>
      <c r="N1457" s="13">
        <v>1</v>
      </c>
      <c r="O1457" s="15"/>
      <c r="P1457" s="6">
        <v>40834.139583333337</v>
      </c>
      <c r="Q1457" s="16" t="s">
        <v>3586</v>
      </c>
      <c r="R1457" s="17" t="s">
        <v>3587</v>
      </c>
      <c r="S1457" s="12"/>
      <c r="T1457" s="12"/>
      <c r="U1457" s="10" t="str">
        <f>HYPERLINK("https://pbs.twimg.com/profile_images/888371862199250946/IK5uPTQQ.jpg","View")</f>
        <v>View</v>
      </c>
    </row>
    <row r="1458" spans="1:21" ht="30.6">
      <c r="A1458" s="6">
        <v>43425.458344907413</v>
      </c>
      <c r="B1458" s="7" t="str">
        <f>HYPERLINK("https://twitter.com/COPE","@COPE")</f>
        <v>@COPE</v>
      </c>
      <c r="C1458" s="8" t="s">
        <v>2586</v>
      </c>
      <c r="D1458" s="9" t="s">
        <v>3588</v>
      </c>
      <c r="E1458" s="10" t="str">
        <f>HYPERLINK("https://twitter.com/COPE/status/1065183037913223169","1065183037913223169")</f>
        <v>1065183037913223169</v>
      </c>
      <c r="F1458" s="11" t="s">
        <v>3589</v>
      </c>
      <c r="G1458" s="12"/>
      <c r="H1458" s="12"/>
      <c r="I1458" s="13">
        <v>361</v>
      </c>
      <c r="J1458" s="13">
        <v>873</v>
      </c>
      <c r="K1458" s="14" t="str">
        <f>HYPERLINK("http://dogtrack.es","DogTrack_Oficial")</f>
        <v>DogTrack_Oficial</v>
      </c>
      <c r="L1458" s="13">
        <v>352773</v>
      </c>
      <c r="M1458" s="13">
        <v>149</v>
      </c>
      <c r="N1458" s="13">
        <v>3087</v>
      </c>
      <c r="O1458" s="18" t="s">
        <v>36</v>
      </c>
      <c r="P1458" s="6">
        <v>39381.538321759261</v>
      </c>
      <c r="Q1458" s="16" t="s">
        <v>118</v>
      </c>
      <c r="R1458" s="17" t="s">
        <v>2589</v>
      </c>
      <c r="S1458" s="11" t="s">
        <v>2590</v>
      </c>
      <c r="T1458" s="12"/>
      <c r="U1458" s="10" t="str">
        <f>HYPERLINK("https://pbs.twimg.com/profile_images/1063097716031533059/yAe1j-56.jpg","View")</f>
        <v>View</v>
      </c>
    </row>
    <row r="1459" spans="1:21" ht="51">
      <c r="A1459" s="6">
        <v>43425.458090277782</v>
      </c>
      <c r="B1459" s="7" t="str">
        <f>HYPERLINK("https://twitter.com/CiudadanosCs","@CiudadanosCs")</f>
        <v>@CiudadanosCs</v>
      </c>
      <c r="C1459" s="8" t="s">
        <v>196</v>
      </c>
      <c r="D1459" s="9" t="s">
        <v>3590</v>
      </c>
      <c r="E1459" s="10" t="str">
        <f>HYPERLINK("https://twitter.com/CiudadanosCs/status/1065182949321175040","1065182949321175040")</f>
        <v>1065182949321175040</v>
      </c>
      <c r="F1459" s="12"/>
      <c r="G1459" s="11" t="s">
        <v>3591</v>
      </c>
      <c r="H1459" s="12"/>
      <c r="I1459" s="13">
        <v>9</v>
      </c>
      <c r="J1459" s="13">
        <v>17</v>
      </c>
      <c r="K1459" s="14" t="str">
        <f>HYPERLINK("https://studio.twitter.com","Media Studio")</f>
        <v>Media Studio</v>
      </c>
      <c r="L1459" s="13">
        <v>486503</v>
      </c>
      <c r="M1459" s="13">
        <v>93653</v>
      </c>
      <c r="N1459" s="13">
        <v>3318</v>
      </c>
      <c r="O1459" s="18" t="s">
        <v>36</v>
      </c>
      <c r="P1459" s="6">
        <v>39828.753460648149</v>
      </c>
      <c r="Q1459" s="16" t="s">
        <v>37</v>
      </c>
      <c r="R1459" s="17" t="s">
        <v>202</v>
      </c>
      <c r="S1459" s="11" t="s">
        <v>203</v>
      </c>
      <c r="T1459" s="12"/>
      <c r="U1459" s="10" t="str">
        <f>HYPERLINK("https://pbs.twimg.com/profile_images/1053554096161075200/1z77_zBZ.jpg","View")</f>
        <v>View</v>
      </c>
    </row>
    <row r="1460" spans="1:21" ht="51">
      <c r="A1460" s="6">
        <v>43425.456296296295</v>
      </c>
      <c r="B1460" s="7" t="str">
        <f>HYPERLINK("https://twitter.com/SordPress","@SordPress")</f>
        <v>@SordPress</v>
      </c>
      <c r="C1460" s="8" t="s">
        <v>6574</v>
      </c>
      <c r="D1460" s="9" t="s">
        <v>6575</v>
      </c>
      <c r="E1460" s="10" t="str">
        <f>HYPERLINK("https://twitter.com/SordPress/status/1065182298734321664","1065182298734321664")</f>
        <v>1065182298734321664</v>
      </c>
      <c r="F1460" s="12"/>
      <c r="G1460" s="12"/>
      <c r="H1460" s="12"/>
      <c r="I1460" s="13">
        <v>1</v>
      </c>
      <c r="J1460" s="13">
        <v>2</v>
      </c>
      <c r="K1460" s="14" t="str">
        <f>HYPERLINK("http://twitter.com/download/android","Twitter for Android")</f>
        <v>Twitter for Android</v>
      </c>
      <c r="L1460" s="13">
        <v>1044</v>
      </c>
      <c r="M1460" s="13">
        <v>695</v>
      </c>
      <c r="N1460" s="13">
        <v>26</v>
      </c>
      <c r="O1460" s="15"/>
      <c r="P1460" s="6">
        <v>40634.663912037038</v>
      </c>
      <c r="Q1460" s="16" t="s">
        <v>6576</v>
      </c>
      <c r="R1460" s="17" t="s">
        <v>6577</v>
      </c>
      <c r="S1460" s="11" t="s">
        <v>6578</v>
      </c>
      <c r="T1460" s="12"/>
      <c r="U1460" s="10" t="str">
        <f>HYPERLINK("https://pbs.twimg.com/profile_images/626453119946391552/h8duM9li.jpg","View")</f>
        <v>View</v>
      </c>
    </row>
    <row r="1461" spans="1:21" ht="40.799999999999997">
      <c r="A1461" s="6">
        <v>43425.455358796295</v>
      </c>
      <c r="B1461" s="7" t="str">
        <f>HYPERLINK("https://twitter.com/Jota_POV","@Jota_POV")</f>
        <v>@Jota_POV</v>
      </c>
      <c r="C1461" s="8" t="s">
        <v>6579</v>
      </c>
      <c r="D1461" s="9" t="s">
        <v>6580</v>
      </c>
      <c r="E1461" s="10" t="str">
        <f>HYPERLINK("https://twitter.com/Jota_POV/status/1065181956302925824","1065181956302925824")</f>
        <v>1065181956302925824</v>
      </c>
      <c r="F1461" s="11" t="s">
        <v>5426</v>
      </c>
      <c r="G1461" s="11" t="s">
        <v>6581</v>
      </c>
      <c r="H1461" s="12"/>
      <c r="I1461" s="13">
        <v>1</v>
      </c>
      <c r="J1461" s="13">
        <v>0</v>
      </c>
      <c r="K1461" s="14" t="str">
        <f>HYPERLINK("http://publicize.wp.com/","WordPress.com")</f>
        <v>WordPress.com</v>
      </c>
      <c r="L1461" s="13">
        <v>4521</v>
      </c>
      <c r="M1461" s="13">
        <v>3201</v>
      </c>
      <c r="N1461" s="13">
        <v>50</v>
      </c>
      <c r="O1461" s="15"/>
      <c r="P1461" s="6">
        <v>41980.881006944444</v>
      </c>
      <c r="Q1461" s="12"/>
      <c r="R1461" s="17" t="s">
        <v>6582</v>
      </c>
      <c r="S1461" s="11" t="s">
        <v>6583</v>
      </c>
      <c r="T1461" s="12"/>
      <c r="U1461" s="10" t="str">
        <f>HYPERLINK("https://pbs.twimg.com/profile_images/947892020210798592/Rl5Z9RiM.jpg","View")</f>
        <v>View</v>
      </c>
    </row>
    <row r="1462" spans="1:21" ht="30.6">
      <c r="A1462" s="6">
        <v>43425.454652777778</v>
      </c>
      <c r="B1462" s="7" t="str">
        <f>HYPERLINK("https://twitter.com/golfete2","@golfete2")</f>
        <v>@golfete2</v>
      </c>
      <c r="C1462" s="8" t="s">
        <v>3594</v>
      </c>
      <c r="D1462" s="9" t="s">
        <v>3595</v>
      </c>
      <c r="E1462" s="10" t="str">
        <f>HYPERLINK("https://twitter.com/golfete2/status/1065181702916575237","1065181702916575237")</f>
        <v>1065181702916575237</v>
      </c>
      <c r="F1462" s="12"/>
      <c r="G1462" s="11" t="s">
        <v>3596</v>
      </c>
      <c r="H1462" s="12"/>
      <c r="I1462" s="13">
        <v>0</v>
      </c>
      <c r="J1462" s="13">
        <v>0</v>
      </c>
      <c r="K1462" s="14" t="str">
        <f>HYPERLINK("http://twitter.com/download/android","Twitter for Android")</f>
        <v>Twitter for Android</v>
      </c>
      <c r="L1462" s="13">
        <v>510</v>
      </c>
      <c r="M1462" s="13">
        <v>484</v>
      </c>
      <c r="N1462" s="13">
        <v>1</v>
      </c>
      <c r="O1462" s="15"/>
      <c r="P1462" s="6">
        <v>43002.423275462963</v>
      </c>
      <c r="Q1462" s="16" t="s">
        <v>3597</v>
      </c>
      <c r="R1462" s="17" t="s">
        <v>3598</v>
      </c>
      <c r="S1462" s="12"/>
      <c r="T1462" s="12"/>
      <c r="U1462" s="10" t="str">
        <f>HYPERLINK("https://pbs.twimg.com/profile_images/1055035170892537856/zYeWIk53.jpg","View")</f>
        <v>View</v>
      </c>
    </row>
    <row r="1463" spans="1:21" ht="51">
      <c r="A1463" s="6">
        <v>43425.454629629632</v>
      </c>
      <c r="B1463" s="7" t="str">
        <f>HYPERLINK("https://twitter.com/Uvejeje","@Uvejeje")</f>
        <v>@Uvejeje</v>
      </c>
      <c r="C1463" s="8" t="s">
        <v>3601</v>
      </c>
      <c r="D1463" s="9" t="s">
        <v>3602</v>
      </c>
      <c r="E1463" s="10" t="str">
        <f>HYPERLINK("https://twitter.com/Uvejeje/status/1065181695299780608","1065181695299780608")</f>
        <v>1065181695299780608</v>
      </c>
      <c r="F1463" s="12"/>
      <c r="G1463" s="12"/>
      <c r="H1463" s="12"/>
      <c r="I1463" s="13">
        <v>3</v>
      </c>
      <c r="J1463" s="13">
        <v>10</v>
      </c>
      <c r="K1463" s="14" t="str">
        <f t="shared" ref="K1463:K1464" si="302">HYPERLINK("http://twitter.com","Twitter Web Client")</f>
        <v>Twitter Web Client</v>
      </c>
      <c r="L1463" s="13">
        <v>4413</v>
      </c>
      <c r="M1463" s="13">
        <v>4211</v>
      </c>
      <c r="N1463" s="13">
        <v>101</v>
      </c>
      <c r="O1463" s="15"/>
      <c r="P1463" s="6">
        <v>40183.778483796297</v>
      </c>
      <c r="Q1463" s="16" t="s">
        <v>3603</v>
      </c>
      <c r="R1463" s="17" t="s">
        <v>3604</v>
      </c>
      <c r="S1463" s="12"/>
      <c r="T1463" s="12"/>
      <c r="U1463" s="10" t="str">
        <f>HYPERLINK("https://pbs.twimg.com/profile_images/808284137132015616/BqjD0p4k.jpg","View")</f>
        <v>View</v>
      </c>
    </row>
    <row r="1464" spans="1:21" ht="51">
      <c r="A1464" s="6">
        <v>43425.453946759255</v>
      </c>
      <c r="B1464" s="7" t="str">
        <f>HYPERLINK("https://twitter.com/Voskov_","@Voskov_")</f>
        <v>@Voskov_</v>
      </c>
      <c r="C1464" s="8" t="s">
        <v>6584</v>
      </c>
      <c r="D1464" s="9" t="s">
        <v>6585</v>
      </c>
      <c r="E1464" s="10" t="str">
        <f>HYPERLINK("https://twitter.com/Voskov_/status/1065181445797437440","1065181445797437440")</f>
        <v>1065181445797437440</v>
      </c>
      <c r="F1464" s="12"/>
      <c r="G1464" s="11" t="s">
        <v>6586</v>
      </c>
      <c r="H1464" s="12"/>
      <c r="I1464" s="13">
        <v>0</v>
      </c>
      <c r="J1464" s="13">
        <v>0</v>
      </c>
      <c r="K1464" s="14" t="str">
        <f t="shared" si="302"/>
        <v>Twitter Web Client</v>
      </c>
      <c r="L1464" s="13">
        <v>493</v>
      </c>
      <c r="M1464" s="13">
        <v>963</v>
      </c>
      <c r="N1464" s="13">
        <v>9</v>
      </c>
      <c r="O1464" s="15"/>
      <c r="P1464" s="6">
        <v>41915.43273148148</v>
      </c>
      <c r="Q1464" s="16" t="s">
        <v>6587</v>
      </c>
      <c r="R1464" s="17" t="s">
        <v>6588</v>
      </c>
      <c r="S1464" s="11" t="s">
        <v>6589</v>
      </c>
      <c r="T1464" s="12"/>
      <c r="U1464" s="10" t="str">
        <f>HYPERLINK("https://pbs.twimg.com/profile_images/1017716529083928576/AjUGBZz4.jpg","View")</f>
        <v>View</v>
      </c>
    </row>
    <row r="1465" spans="1:21" ht="40.799999999999997">
      <c r="A1465" s="6">
        <v>43425.453449074077</v>
      </c>
      <c r="B1465" s="7" t="str">
        <f>HYPERLINK("https://twitter.com/Sr_Gremlin","@Sr_Gremlin")</f>
        <v>@Sr_Gremlin</v>
      </c>
      <c r="C1465" s="8" t="s">
        <v>6439</v>
      </c>
      <c r="D1465" s="9" t="s">
        <v>6590</v>
      </c>
      <c r="E1465" s="10" t="str">
        <f>HYPERLINK("https://twitter.com/Sr_Gremlin/status/1065181267602362368","1065181267602362368")</f>
        <v>1065181267602362368</v>
      </c>
      <c r="F1465" s="12"/>
      <c r="G1465" s="11" t="s">
        <v>6591</v>
      </c>
      <c r="H1465" s="12"/>
      <c r="I1465" s="13">
        <v>0</v>
      </c>
      <c r="J1465" s="13">
        <v>0</v>
      </c>
      <c r="K1465" s="14" t="str">
        <f t="shared" ref="K1465:K1466" si="303">HYPERLINK("http://twitter.com/download/android","Twitter for Android")</f>
        <v>Twitter for Android</v>
      </c>
      <c r="L1465" s="13">
        <v>1051</v>
      </c>
      <c r="M1465" s="13">
        <v>2372</v>
      </c>
      <c r="N1465" s="13">
        <v>19</v>
      </c>
      <c r="O1465" s="15"/>
      <c r="P1465" s="6">
        <v>40776.417592592596</v>
      </c>
      <c r="Q1465" s="16" t="s">
        <v>6442</v>
      </c>
      <c r="R1465" s="17" t="s">
        <v>6443</v>
      </c>
      <c r="S1465" s="12"/>
      <c r="T1465" s="12"/>
      <c r="U1465" s="10" t="str">
        <f>HYPERLINK("https://pbs.twimg.com/profile_images/657262540892827648/95FuqdqQ.jpg","View")</f>
        <v>View</v>
      </c>
    </row>
    <row r="1466" spans="1:21" ht="61.2">
      <c r="A1466" s="6">
        <v>43425.45311342593</v>
      </c>
      <c r="B1466" s="7" t="str">
        <f>HYPERLINK("https://twitter.com/HeimishROCF","@HeimishROCF")</f>
        <v>@HeimishROCF</v>
      </c>
      <c r="C1466" s="8" t="s">
        <v>3605</v>
      </c>
      <c r="D1466" s="9" t="s">
        <v>3606</v>
      </c>
      <c r="E1466" s="10" t="str">
        <f>HYPERLINK("https://twitter.com/HeimishROCF/status/1065181144465977345","1065181144465977345")</f>
        <v>1065181144465977345</v>
      </c>
      <c r="F1466" s="16" t="s">
        <v>64</v>
      </c>
      <c r="G1466" s="11" t="s">
        <v>65</v>
      </c>
      <c r="H1466" s="12"/>
      <c r="I1466" s="13">
        <v>0</v>
      </c>
      <c r="J1466" s="13">
        <v>3</v>
      </c>
      <c r="K1466" s="14" t="str">
        <f t="shared" si="303"/>
        <v>Twitter for Android</v>
      </c>
      <c r="L1466" s="13">
        <v>929</v>
      </c>
      <c r="M1466" s="13">
        <v>1108</v>
      </c>
      <c r="N1466" s="13">
        <v>9</v>
      </c>
      <c r="O1466" s="15"/>
      <c r="P1466" s="6">
        <v>40332.710555555554</v>
      </c>
      <c r="Q1466" s="12"/>
      <c r="R1466" s="17" t="s">
        <v>3607</v>
      </c>
      <c r="S1466" s="12"/>
      <c r="T1466" s="12"/>
      <c r="U1466" s="10" t="str">
        <f>HYPERLINK("https://pbs.twimg.com/profile_images/1057310673384943616/kUQTE19T.jpg","View")</f>
        <v>View</v>
      </c>
    </row>
    <row r="1467" spans="1:21" ht="20.399999999999999">
      <c r="A1467" s="6">
        <v>43425.452928240746</v>
      </c>
      <c r="B1467" s="7" t="str">
        <f>HYPERLINK("https://twitter.com/Carnial","@Carnial")</f>
        <v>@Carnial</v>
      </c>
      <c r="C1467" s="8" t="s">
        <v>6592</v>
      </c>
      <c r="D1467" s="9" t="s">
        <v>4528</v>
      </c>
      <c r="E1467" s="10" t="str">
        <f>HYPERLINK("https://twitter.com/Carnial/status/1065181078460215296","1065181078460215296")</f>
        <v>1065181078460215296</v>
      </c>
      <c r="F1467" s="11" t="s">
        <v>1228</v>
      </c>
      <c r="G1467" s="12"/>
      <c r="H1467" s="12"/>
      <c r="I1467" s="13">
        <v>0</v>
      </c>
      <c r="J1467" s="13">
        <v>0</v>
      </c>
      <c r="K1467" s="14" t="str">
        <f>HYPERLINK("http://www.facebook.com/twitter","Facebook")</f>
        <v>Facebook</v>
      </c>
      <c r="L1467" s="13">
        <v>53</v>
      </c>
      <c r="M1467" s="13">
        <v>63</v>
      </c>
      <c r="N1467" s="13">
        <v>5</v>
      </c>
      <c r="O1467" s="15"/>
      <c r="P1467" s="6">
        <v>40072.471539351856</v>
      </c>
      <c r="Q1467" s="16" t="s">
        <v>6593</v>
      </c>
      <c r="R1467" s="19"/>
      <c r="S1467" s="12"/>
      <c r="T1467" s="12"/>
      <c r="U1467" s="10" t="str">
        <f>HYPERLINK("https://pbs.twimg.com/profile_images/627614336/2001-CarlosNieto.jpg","View")</f>
        <v>View</v>
      </c>
    </row>
    <row r="1468" spans="1:21" ht="51">
      <c r="A1468" s="6">
        <v>43425.4528125</v>
      </c>
      <c r="B1468" s="7" t="str">
        <f>HYPERLINK("https://twitter.com/_Aitana_R","@_Aitana_R")</f>
        <v>@_Aitana_R</v>
      </c>
      <c r="C1468" s="8" t="s">
        <v>6594</v>
      </c>
      <c r="D1468" s="9" t="s">
        <v>6595</v>
      </c>
      <c r="E1468" s="10" t="str">
        <f>HYPERLINK("https://twitter.com/_Aitana_R/status/1065181036944990208","1065181036944990208")</f>
        <v>1065181036944990208</v>
      </c>
      <c r="F1468" s="12"/>
      <c r="G1468" s="12"/>
      <c r="H1468" s="12"/>
      <c r="I1468" s="13">
        <v>7</v>
      </c>
      <c r="J1468" s="13">
        <v>9</v>
      </c>
      <c r="K1468" s="14" t="str">
        <f t="shared" ref="K1468:K1469" si="304">HYPERLINK("http://twitter.com/download/iphone","Twitter for iPhone")</f>
        <v>Twitter for iPhone</v>
      </c>
      <c r="L1468" s="13">
        <v>1120</v>
      </c>
      <c r="M1468" s="13">
        <v>960</v>
      </c>
      <c r="N1468" s="13">
        <v>11</v>
      </c>
      <c r="O1468" s="15"/>
      <c r="P1468" s="6">
        <v>42555.610312500001</v>
      </c>
      <c r="Q1468" s="12"/>
      <c r="R1468" s="19"/>
      <c r="S1468" s="12"/>
      <c r="T1468" s="12"/>
      <c r="U1468" s="10" t="str">
        <f>HYPERLINK("https://pbs.twimg.com/profile_images/972413193241972736/RxmG9tac.jpg","View")</f>
        <v>View</v>
      </c>
    </row>
    <row r="1469" spans="1:21" ht="61.2">
      <c r="A1469" s="6">
        <v>43425.450706018513</v>
      </c>
      <c r="B1469" s="7" t="str">
        <f>HYPERLINK("https://twitter.com/AdryCasares","@AdryCasares")</f>
        <v>@AdryCasares</v>
      </c>
      <c r="C1469" s="8" t="s">
        <v>3608</v>
      </c>
      <c r="D1469" s="9" t="s">
        <v>3609</v>
      </c>
      <c r="E1469" s="10" t="str">
        <f>HYPERLINK("https://twitter.com/AdryCasares/status/1065180270620491777","1065180270620491777")</f>
        <v>1065180270620491777</v>
      </c>
      <c r="F1469" s="12"/>
      <c r="G1469" s="12"/>
      <c r="H1469" s="12"/>
      <c r="I1469" s="13">
        <v>0</v>
      </c>
      <c r="J1469" s="13">
        <v>0</v>
      </c>
      <c r="K1469" s="14" t="str">
        <f t="shared" si="304"/>
        <v>Twitter for iPhone</v>
      </c>
      <c r="L1469" s="13">
        <v>79</v>
      </c>
      <c r="M1469" s="13">
        <v>243</v>
      </c>
      <c r="N1469" s="13">
        <v>3</v>
      </c>
      <c r="O1469" s="15"/>
      <c r="P1469" s="6">
        <v>40446.977534722224</v>
      </c>
      <c r="Q1469" s="16" t="s">
        <v>310</v>
      </c>
      <c r="R1469" s="17" t="s">
        <v>3610</v>
      </c>
      <c r="S1469" s="11" t="s">
        <v>3611</v>
      </c>
      <c r="T1469" s="12"/>
      <c r="U1469" s="10" t="str">
        <f>HYPERLINK("https://pbs.twimg.com/profile_images/1034430798366171138/s-WYYdZz.jpg","View")</f>
        <v>View</v>
      </c>
    </row>
    <row r="1470" spans="1:21" ht="51">
      <c r="A1470" s="6">
        <v>43425.450590277775</v>
      </c>
      <c r="B1470" s="7" t="str">
        <f>HYPERLINK("https://twitter.com/kodiario_","@kodiario_")</f>
        <v>@kodiario_</v>
      </c>
      <c r="C1470" s="8" t="s">
        <v>359</v>
      </c>
      <c r="D1470" s="9" t="s">
        <v>6596</v>
      </c>
      <c r="E1470" s="10" t="str">
        <f>HYPERLINK("https://twitter.com/kodiario_/status/1065180228807471110","1065180228807471110")</f>
        <v>1065180228807471110</v>
      </c>
      <c r="F1470" s="11" t="s">
        <v>5767</v>
      </c>
      <c r="G1470" s="12"/>
      <c r="H1470" s="12"/>
      <c r="I1470" s="13">
        <v>4</v>
      </c>
      <c r="J1470" s="13">
        <v>3</v>
      </c>
      <c r="K1470" s="14" t="str">
        <f>HYPERLINK("http://twitter.com/download/android","Twitter for Android")</f>
        <v>Twitter for Android</v>
      </c>
      <c r="L1470" s="13">
        <v>4595</v>
      </c>
      <c r="M1470" s="13">
        <v>322</v>
      </c>
      <c r="N1470" s="13">
        <v>55</v>
      </c>
      <c r="O1470" s="15"/>
      <c r="P1470" s="6">
        <v>42564.053425925929</v>
      </c>
      <c r="Q1470" s="12"/>
      <c r="R1470" s="17" t="s">
        <v>365</v>
      </c>
      <c r="S1470" s="12"/>
      <c r="T1470" s="12"/>
      <c r="U1470" s="10" t="str">
        <f>HYPERLINK("https://pbs.twimg.com/profile_images/977352060571148288/z2lxbv4P.jpg","View")</f>
        <v>View</v>
      </c>
    </row>
    <row r="1471" spans="1:21" ht="40.799999999999997">
      <c r="A1471" s="6">
        <v>43425.450370370367</v>
      </c>
      <c r="B1471" s="7" t="str">
        <f>HYPERLINK("https://twitter.com/EliasChaairi","@EliasChaairi")</f>
        <v>@EliasChaairi</v>
      </c>
      <c r="C1471" s="8" t="s">
        <v>3612</v>
      </c>
      <c r="D1471" s="9" t="s">
        <v>3613</v>
      </c>
      <c r="E1471" s="10" t="str">
        <f>HYPERLINK("https://twitter.com/EliasChaairi/status/1065180148876627969","1065180148876627969")</f>
        <v>1065180148876627969</v>
      </c>
      <c r="F1471" s="16" t="s">
        <v>733</v>
      </c>
      <c r="G1471" s="11" t="s">
        <v>65</v>
      </c>
      <c r="H1471" s="12"/>
      <c r="I1471" s="13">
        <v>0</v>
      </c>
      <c r="J1471" s="13">
        <v>0</v>
      </c>
      <c r="K1471" s="14" t="str">
        <f>HYPERLINK("http://twitter.com/download/iphone","Twitter for iPhone")</f>
        <v>Twitter for iPhone</v>
      </c>
      <c r="L1471" s="13">
        <v>59</v>
      </c>
      <c r="M1471" s="13">
        <v>520</v>
      </c>
      <c r="N1471" s="13">
        <v>0</v>
      </c>
      <c r="O1471" s="15"/>
      <c r="P1471" s="6">
        <v>43135.704953703702</v>
      </c>
      <c r="Q1471" s="16" t="s">
        <v>37</v>
      </c>
      <c r="R1471" s="17" t="s">
        <v>3616</v>
      </c>
      <c r="S1471" s="12"/>
      <c r="T1471" s="12"/>
      <c r="U1471" s="10" t="str">
        <f>HYPERLINK("https://pbs.twimg.com/profile_images/1064271633907703809/p8EwsPr6.jpg","View")</f>
        <v>View</v>
      </c>
    </row>
    <row r="1472" spans="1:21" ht="20.399999999999999">
      <c r="A1472" s="6">
        <v>43425.449166666665</v>
      </c>
      <c r="B1472" s="7" t="str">
        <f>HYPERLINK("https://twitter.com/tthejohan","@tthejohan")</f>
        <v>@tthejohan</v>
      </c>
      <c r="C1472" s="8" t="s">
        <v>6529</v>
      </c>
      <c r="D1472" s="9" t="s">
        <v>6597</v>
      </c>
      <c r="E1472" s="10" t="str">
        <f>HYPERLINK("https://twitter.com/tthejohan/status/1065179713855983617","1065179713855983617")</f>
        <v>1065179713855983617</v>
      </c>
      <c r="F1472" s="12"/>
      <c r="G1472" s="11" t="s">
        <v>6598</v>
      </c>
      <c r="H1472" s="12"/>
      <c r="I1472" s="13">
        <v>0</v>
      </c>
      <c r="J1472" s="13">
        <v>1</v>
      </c>
      <c r="K1472" s="14" t="str">
        <f>HYPERLINK("http://twitter.com","Twitter Web Client")</f>
        <v>Twitter Web Client</v>
      </c>
      <c r="L1472" s="13">
        <v>465</v>
      </c>
      <c r="M1472" s="13">
        <v>1181</v>
      </c>
      <c r="N1472" s="13">
        <v>5</v>
      </c>
      <c r="O1472" s="15"/>
      <c r="P1472" s="6">
        <v>40976.799479166664</v>
      </c>
      <c r="Q1472" s="16" t="s">
        <v>6532</v>
      </c>
      <c r="R1472" s="17" t="s">
        <v>6533</v>
      </c>
      <c r="S1472" s="12"/>
      <c r="T1472" s="12"/>
      <c r="U1472" s="10" t="str">
        <f>HYPERLINK("https://pbs.twimg.com/profile_images/1065299047119024128/j1vrO2Sd.jpg","View")</f>
        <v>View</v>
      </c>
    </row>
    <row r="1473" spans="1:21" ht="30.6">
      <c r="A1473" s="6">
        <v>43425.447685185187</v>
      </c>
      <c r="B1473" s="7" t="str">
        <f>HYPERLINK("https://twitter.com/danielortizguer","@danielortizguer")</f>
        <v>@danielortizguer</v>
      </c>
      <c r="C1473" s="8" t="s">
        <v>6599</v>
      </c>
      <c r="D1473" s="9" t="s">
        <v>6600</v>
      </c>
      <c r="E1473" s="10" t="str">
        <f>HYPERLINK("https://twitter.com/danielortizguer/status/1065179176255266816","1065179176255266816")</f>
        <v>1065179176255266816</v>
      </c>
      <c r="F1473" s="12"/>
      <c r="G1473" s="12"/>
      <c r="H1473" s="12"/>
      <c r="I1473" s="13">
        <v>1</v>
      </c>
      <c r="J1473" s="13">
        <v>1</v>
      </c>
      <c r="K1473" s="14" t="str">
        <f>HYPERLINK("http://twitter.com/download/android","Twitter for Android")</f>
        <v>Twitter for Android</v>
      </c>
      <c r="L1473" s="13">
        <v>3082</v>
      </c>
      <c r="M1473" s="13">
        <v>2326</v>
      </c>
      <c r="N1473" s="13">
        <v>93</v>
      </c>
      <c r="O1473" s="15"/>
      <c r="P1473" s="6">
        <v>40326.8440162037</v>
      </c>
      <c r="Q1473" s="16" t="s">
        <v>37</v>
      </c>
      <c r="R1473" s="17" t="s">
        <v>6601</v>
      </c>
      <c r="S1473" s="12"/>
      <c r="T1473" s="12"/>
      <c r="U1473" s="10" t="str">
        <f>HYPERLINK("https://pbs.twimg.com/profile_images/1062999060838338560/oQNdOi9G.jpg","View")</f>
        <v>View</v>
      </c>
    </row>
    <row r="1474" spans="1:21" ht="51">
      <c r="A1474" s="6">
        <v>43425.445983796293</v>
      </c>
      <c r="B1474" s="7" t="str">
        <f>HYPERLINK("https://twitter.com/SantanderCs","@SantanderCs")</f>
        <v>@SantanderCs</v>
      </c>
      <c r="C1474" s="8" t="s">
        <v>1707</v>
      </c>
      <c r="D1474" s="9" t="s">
        <v>3618</v>
      </c>
      <c r="E1474" s="10" t="str">
        <f>HYPERLINK("https://twitter.com/SantanderCs/status/1065178561642983424","1065178561642983424")</f>
        <v>1065178561642983424</v>
      </c>
      <c r="F1474" s="11" t="s">
        <v>3619</v>
      </c>
      <c r="G1474" s="11" t="s">
        <v>3620</v>
      </c>
      <c r="H1474" s="12"/>
      <c r="I1474" s="13">
        <v>1</v>
      </c>
      <c r="J1474" s="13">
        <v>1</v>
      </c>
      <c r="K1474" s="14" t="str">
        <f>HYPERLINK("http://twitter.com","Twitter Web Client")</f>
        <v>Twitter Web Client</v>
      </c>
      <c r="L1474" s="13">
        <v>823</v>
      </c>
      <c r="M1474" s="13">
        <v>304</v>
      </c>
      <c r="N1474" s="13">
        <v>14</v>
      </c>
      <c r="O1474" s="15"/>
      <c r="P1474" s="6">
        <v>42257.476724537039</v>
      </c>
      <c r="Q1474" s="16" t="s">
        <v>1711</v>
      </c>
      <c r="R1474" s="17" t="s">
        <v>1712</v>
      </c>
      <c r="S1474" s="11" t="s">
        <v>1713</v>
      </c>
      <c r="T1474" s="12"/>
      <c r="U1474" s="10" t="str">
        <f>HYPERLINK("https://pbs.twimg.com/profile_images/899547645257150464/fsV--po7.jpg","View")</f>
        <v>View</v>
      </c>
    </row>
    <row r="1475" spans="1:21" ht="20.399999999999999">
      <c r="A1475" s="6">
        <v>43425.445763888885</v>
      </c>
      <c r="B1475" s="7" t="str">
        <f>HYPERLINK("https://twitter.com/Vermutero","@Vermutero")</f>
        <v>@Vermutero</v>
      </c>
      <c r="C1475" s="8" t="s">
        <v>6603</v>
      </c>
      <c r="D1475" s="9" t="s">
        <v>6604</v>
      </c>
      <c r="E1475" s="10" t="str">
        <f>HYPERLINK("https://twitter.com/Vermutero/status/1065178481401765888","1065178481401765888")</f>
        <v>1065178481401765888</v>
      </c>
      <c r="F1475" s="12"/>
      <c r="G1475" s="12"/>
      <c r="H1475" s="12"/>
      <c r="I1475" s="13">
        <v>0</v>
      </c>
      <c r="J1475" s="13">
        <v>1</v>
      </c>
      <c r="K1475" s="14" t="str">
        <f>HYPERLINK("http://twitter.com/download/android","Twitter for Android")</f>
        <v>Twitter for Android</v>
      </c>
      <c r="L1475" s="13">
        <v>170</v>
      </c>
      <c r="M1475" s="13">
        <v>90</v>
      </c>
      <c r="N1475" s="13">
        <v>8</v>
      </c>
      <c r="O1475" s="15"/>
      <c r="P1475" s="6">
        <v>41126.441122685181</v>
      </c>
      <c r="Q1475" s="16" t="s">
        <v>6605</v>
      </c>
      <c r="R1475" s="17" t="s">
        <v>6606</v>
      </c>
      <c r="S1475" s="12"/>
      <c r="T1475" s="12"/>
      <c r="U1475" s="10" t="str">
        <f>HYPERLINK("https://pbs.twimg.com/profile_images/905311913772494848/FAs4uHvf.jpg","View")</f>
        <v>View</v>
      </c>
    </row>
    <row r="1476" spans="1:21" ht="40.799999999999997">
      <c r="A1476" s="6">
        <v>43425.444988425923</v>
      </c>
      <c r="B1476" s="7" t="str">
        <f>HYPERLINK("https://twitter.com/duduipa","@duduipa")</f>
        <v>@duduipa</v>
      </c>
      <c r="C1476" s="8" t="s">
        <v>6607</v>
      </c>
      <c r="D1476" s="9" t="s">
        <v>6608</v>
      </c>
      <c r="E1476" s="10" t="str">
        <f>HYPERLINK("https://twitter.com/duduipa/status/1065178199708090368","1065178199708090368")</f>
        <v>1065178199708090368</v>
      </c>
      <c r="F1476" s="11" t="s">
        <v>3688</v>
      </c>
      <c r="G1476" s="12"/>
      <c r="H1476" s="12"/>
      <c r="I1476" s="13">
        <v>4</v>
      </c>
      <c r="J1476" s="13">
        <v>2</v>
      </c>
      <c r="K1476" s="14" t="str">
        <f t="shared" ref="K1476:K1478" si="305">HYPERLINK("http://twitter.com/download/iphone","Twitter for iPhone")</f>
        <v>Twitter for iPhone</v>
      </c>
      <c r="L1476" s="13">
        <v>19102</v>
      </c>
      <c r="M1476" s="13">
        <v>5826</v>
      </c>
      <c r="N1476" s="13">
        <v>42</v>
      </c>
      <c r="O1476" s="15"/>
      <c r="P1476" s="6">
        <v>40682.063356481478</v>
      </c>
      <c r="Q1476" s="16" t="s">
        <v>6609</v>
      </c>
      <c r="R1476" s="17" t="s">
        <v>6610</v>
      </c>
      <c r="S1476" s="12"/>
      <c r="T1476" s="12"/>
      <c r="U1476" s="10" t="str">
        <f>HYPERLINK("https://pbs.twimg.com/profile_images/1035570626579365890/gBcGdCw0.jpg","View")</f>
        <v>View</v>
      </c>
    </row>
    <row r="1477" spans="1:21" ht="40.799999999999997">
      <c r="A1477" s="6">
        <v>43425.444386574076</v>
      </c>
      <c r="B1477" s="7" t="str">
        <f>HYPERLINK("https://twitter.com/mariaquilezv","@mariaquilezv")</f>
        <v>@mariaquilezv</v>
      </c>
      <c r="C1477" s="8" t="s">
        <v>6611</v>
      </c>
      <c r="D1477" s="9" t="s">
        <v>6612</v>
      </c>
      <c r="E1477" s="10" t="str">
        <f>HYPERLINK("https://twitter.com/mariaquilezv/status/1065177980702461953","1065177980702461953")</f>
        <v>1065177980702461953</v>
      </c>
      <c r="F1477" s="12"/>
      <c r="G1477" s="12"/>
      <c r="H1477" s="12"/>
      <c r="I1477" s="13">
        <v>1</v>
      </c>
      <c r="J1477" s="13">
        <v>2</v>
      </c>
      <c r="K1477" s="14" t="str">
        <f t="shared" si="305"/>
        <v>Twitter for iPhone</v>
      </c>
      <c r="L1477" s="13">
        <v>2579</v>
      </c>
      <c r="M1477" s="13">
        <v>856</v>
      </c>
      <c r="N1477" s="13">
        <v>23</v>
      </c>
      <c r="O1477" s="15"/>
      <c r="P1477" s="6">
        <v>41183.603726851856</v>
      </c>
      <c r="Q1477" s="16" t="s">
        <v>189</v>
      </c>
      <c r="R1477" s="17" t="s">
        <v>6613</v>
      </c>
      <c r="S1477" s="11" t="s">
        <v>6614</v>
      </c>
      <c r="T1477" s="12"/>
      <c r="U1477" s="10" t="str">
        <f>HYPERLINK("https://pbs.twimg.com/profile_images/1050751296981147650/YmTkHo1c.jpg","View")</f>
        <v>View</v>
      </c>
    </row>
    <row r="1478" spans="1:21" ht="30.6">
      <c r="A1478" s="6">
        <v>43425.444340277776</v>
      </c>
      <c r="B1478" s="7" t="str">
        <f>HYPERLINK("https://twitter.com/grapesergi","@grapesergi")</f>
        <v>@grapesergi</v>
      </c>
      <c r="C1478" s="8" t="s">
        <v>6615</v>
      </c>
      <c r="D1478" s="9" t="s">
        <v>6616</v>
      </c>
      <c r="E1478" s="10" t="str">
        <f>HYPERLINK("https://twitter.com/grapesergi/status/1065177964214652928","1065177964214652928")</f>
        <v>1065177964214652928</v>
      </c>
      <c r="F1478" s="12"/>
      <c r="G1478" s="11" t="s">
        <v>6617</v>
      </c>
      <c r="H1478" s="12"/>
      <c r="I1478" s="13">
        <v>0</v>
      </c>
      <c r="J1478" s="13">
        <v>2</v>
      </c>
      <c r="K1478" s="14" t="str">
        <f t="shared" si="305"/>
        <v>Twitter for iPhone</v>
      </c>
      <c r="L1478" s="13">
        <v>332</v>
      </c>
      <c r="M1478" s="13">
        <v>666</v>
      </c>
      <c r="N1478" s="13">
        <v>4</v>
      </c>
      <c r="O1478" s="15"/>
      <c r="P1478" s="6">
        <v>41324.920578703706</v>
      </c>
      <c r="Q1478" s="16" t="s">
        <v>6618</v>
      </c>
      <c r="R1478" s="17" t="s">
        <v>6619</v>
      </c>
      <c r="S1478" s="12"/>
      <c r="T1478" s="12"/>
      <c r="U1478" s="10" t="str">
        <f>HYPERLINK("https://pbs.twimg.com/profile_images/1023500523155193857/5d0eKU2d.jpg","View")</f>
        <v>View</v>
      </c>
    </row>
    <row r="1479" spans="1:21" ht="30.6">
      <c r="A1479" s="6">
        <v>43425.442372685182</v>
      </c>
      <c r="B1479" s="7" t="str">
        <f>HYPERLINK("https://twitter.com/Gato_directo","@Gato_directo")</f>
        <v>@Gato_directo</v>
      </c>
      <c r="C1479" s="8" t="s">
        <v>6620</v>
      </c>
      <c r="D1479" s="9" t="s">
        <v>6621</v>
      </c>
      <c r="E1479" s="10" t="str">
        <f>HYPERLINK("https://twitter.com/Gato_directo/status/1065177250218143744","1065177250218143744")</f>
        <v>1065177250218143744</v>
      </c>
      <c r="F1479" s="11" t="s">
        <v>6622</v>
      </c>
      <c r="G1479" s="12"/>
      <c r="H1479" s="12"/>
      <c r="I1479" s="13">
        <v>3</v>
      </c>
      <c r="J1479" s="13">
        <v>3</v>
      </c>
      <c r="K1479" s="14" t="str">
        <f>HYPERLINK("https://about.twitter.com/products/tweetdeck","TweetDeck")</f>
        <v>TweetDeck</v>
      </c>
      <c r="L1479" s="13">
        <v>70954</v>
      </c>
      <c r="M1479" s="13">
        <v>422</v>
      </c>
      <c r="N1479" s="13">
        <v>828</v>
      </c>
      <c r="O1479" s="18" t="s">
        <v>36</v>
      </c>
      <c r="P1479" s="6">
        <v>40645.559537037036</v>
      </c>
      <c r="Q1479" s="16" t="s">
        <v>37</v>
      </c>
      <c r="R1479" s="17" t="s">
        <v>6623</v>
      </c>
      <c r="S1479" s="11" t="s">
        <v>6624</v>
      </c>
      <c r="T1479" s="12"/>
      <c r="U1479" s="10" t="str">
        <f>HYPERLINK("https://pbs.twimg.com/profile_images/927943593666531329/mSyHAq8G.jpg","View")</f>
        <v>View</v>
      </c>
    </row>
    <row r="1480" spans="1:21" ht="40.799999999999997">
      <c r="A1480" s="6">
        <v>43425.441064814819</v>
      </c>
      <c r="B1480" s="7" t="str">
        <f>HYPERLINK("https://twitter.com/La_Cerca","@La_Cerca")</f>
        <v>@La_Cerca</v>
      </c>
      <c r="C1480" s="8" t="s">
        <v>167</v>
      </c>
      <c r="D1480" s="9" t="s">
        <v>3625</v>
      </c>
      <c r="E1480" s="10" t="str">
        <f>HYPERLINK("https://twitter.com/La_Cerca/status/1065176779135115265","1065176779135115265")</f>
        <v>1065176779135115265</v>
      </c>
      <c r="F1480" s="11" t="s">
        <v>3626</v>
      </c>
      <c r="G1480" s="12"/>
      <c r="H1480" s="12"/>
      <c r="I1480" s="13">
        <v>0</v>
      </c>
      <c r="J1480" s="13">
        <v>0</v>
      </c>
      <c r="K1480" s="14" t="str">
        <f>HYPERLINK("http://www.lacerca.com","La Cerca")</f>
        <v>La Cerca</v>
      </c>
      <c r="L1480" s="13">
        <v>18963</v>
      </c>
      <c r="M1480" s="13">
        <v>4967</v>
      </c>
      <c r="N1480" s="13">
        <v>336</v>
      </c>
      <c r="O1480" s="18" t="s">
        <v>36</v>
      </c>
      <c r="P1480" s="6">
        <v>40007.429652777777</v>
      </c>
      <c r="Q1480" s="16" t="s">
        <v>171</v>
      </c>
      <c r="R1480" s="17" t="s">
        <v>172</v>
      </c>
      <c r="S1480" s="11" t="s">
        <v>173</v>
      </c>
      <c r="T1480" s="12"/>
      <c r="U1480" s="10" t="str">
        <f>HYPERLINK("https://pbs.twimg.com/profile_images/1046758213843111937/MFsiNfy0.jpg","View")</f>
        <v>View</v>
      </c>
    </row>
    <row r="1481" spans="1:21" ht="40.799999999999997">
      <c r="A1481" s="6">
        <v>43425.44017361111</v>
      </c>
      <c r="B1481" s="7" t="str">
        <f>HYPERLINK("https://twitter.com/tintobarrantes_","@tintobarrantes_")</f>
        <v>@tintobarrantes_</v>
      </c>
      <c r="C1481" s="8" t="s">
        <v>6626</v>
      </c>
      <c r="D1481" s="9" t="s">
        <v>6627</v>
      </c>
      <c r="E1481" s="10" t="str">
        <f>HYPERLINK("https://twitter.com/tintobarrantes_/status/1065176454063943680","1065176454063943680")</f>
        <v>1065176454063943680</v>
      </c>
      <c r="F1481" s="12"/>
      <c r="G1481" s="12"/>
      <c r="H1481" s="12"/>
      <c r="I1481" s="13">
        <v>1</v>
      </c>
      <c r="J1481" s="13">
        <v>1</v>
      </c>
      <c r="K1481" s="14" t="str">
        <f>HYPERLINK("https://mobile.twitter.com","Twitter Lite")</f>
        <v>Twitter Lite</v>
      </c>
      <c r="L1481" s="13">
        <v>281</v>
      </c>
      <c r="M1481" s="13">
        <v>468</v>
      </c>
      <c r="N1481" s="13">
        <v>4</v>
      </c>
      <c r="O1481" s="15"/>
      <c r="P1481" s="6">
        <v>42831.946134259255</v>
      </c>
      <c r="Q1481" s="16" t="s">
        <v>1749</v>
      </c>
      <c r="R1481" s="17" t="s">
        <v>6628</v>
      </c>
      <c r="S1481" s="12"/>
      <c r="T1481" s="12"/>
      <c r="U1481" s="10" t="str">
        <f>HYPERLINK("https://pbs.twimg.com/profile_images/1009033759537147905/1cnocPzU.jpg","View")</f>
        <v>View</v>
      </c>
    </row>
    <row r="1482" spans="1:21" ht="40.799999999999997">
      <c r="A1482" s="6">
        <v>43425.438541666663</v>
      </c>
      <c r="B1482" s="7" t="str">
        <f>HYPERLINK("https://twitter.com/VictoriusWalls","@VictoriusWalls")</f>
        <v>@VictoriusWalls</v>
      </c>
      <c r="C1482" s="8" t="s">
        <v>6629</v>
      </c>
      <c r="D1482" s="9" t="s">
        <v>6630</v>
      </c>
      <c r="E1482" s="10" t="str">
        <f>HYPERLINK("https://twitter.com/VictoriusWalls/status/1065175863191318528","1065175863191318528")</f>
        <v>1065175863191318528</v>
      </c>
      <c r="F1482" s="16" t="s">
        <v>64</v>
      </c>
      <c r="G1482" s="11" t="s">
        <v>65</v>
      </c>
      <c r="H1482" s="12"/>
      <c r="I1482" s="13">
        <v>2</v>
      </c>
      <c r="J1482" s="13">
        <v>2</v>
      </c>
      <c r="K1482" s="14" t="str">
        <f>HYPERLINK("http://twitter.com","Twitter Web Client")</f>
        <v>Twitter Web Client</v>
      </c>
      <c r="L1482" s="13">
        <v>3595</v>
      </c>
      <c r="M1482" s="13">
        <v>4580</v>
      </c>
      <c r="N1482" s="13">
        <v>8</v>
      </c>
      <c r="O1482" s="15"/>
      <c r="P1482" s="6">
        <v>42712.59002314815</v>
      </c>
      <c r="Q1482" s="16" t="s">
        <v>6631</v>
      </c>
      <c r="R1482" s="17" t="s">
        <v>6632</v>
      </c>
      <c r="S1482" s="12"/>
      <c r="T1482" s="12"/>
      <c r="U1482" s="10" t="str">
        <f>HYPERLINK("https://pbs.twimg.com/profile_images/931564688843902976/RYS4HCAx.jpg","View")</f>
        <v>View</v>
      </c>
    </row>
    <row r="1483" spans="1:21" ht="40.799999999999997">
      <c r="A1483" s="6">
        <v>43425.436805555553</v>
      </c>
      <c r="B1483" s="7" t="str">
        <f>HYPERLINK("https://twitter.com/El_Plural","@El_Plural")</f>
        <v>@El_Plural</v>
      </c>
      <c r="C1483" s="8" t="s">
        <v>5159</v>
      </c>
      <c r="D1483" s="9" t="s">
        <v>6633</v>
      </c>
      <c r="E1483" s="10" t="str">
        <f>HYPERLINK("https://twitter.com/El_Plural/status/1065175233533890561","1065175233533890561")</f>
        <v>1065175233533890561</v>
      </c>
      <c r="F1483" s="11" t="s">
        <v>1228</v>
      </c>
      <c r="G1483" s="12"/>
      <c r="H1483" s="12"/>
      <c r="I1483" s="13">
        <v>12</v>
      </c>
      <c r="J1483" s="13">
        <v>7</v>
      </c>
      <c r="K1483" s="14" t="str">
        <f>HYPERLINK("https://about.twitter.com/products/tweetdeck","TweetDeck")</f>
        <v>TweetDeck</v>
      </c>
      <c r="L1483" s="13">
        <v>71891</v>
      </c>
      <c r="M1483" s="13">
        <v>1644</v>
      </c>
      <c r="N1483" s="13">
        <v>2012</v>
      </c>
      <c r="O1483" s="15"/>
      <c r="P1483" s="6">
        <v>40351.51053240741</v>
      </c>
      <c r="Q1483" s="16" t="s">
        <v>37</v>
      </c>
      <c r="R1483" s="17" t="s">
        <v>5162</v>
      </c>
      <c r="S1483" s="11" t="s">
        <v>5163</v>
      </c>
      <c r="T1483" s="12"/>
      <c r="U1483" s="10" t="str">
        <f>HYPERLINK("https://pbs.twimg.com/profile_images/1017707018138857473/kUt8X2tn.jpg","View")</f>
        <v>View</v>
      </c>
    </row>
    <row r="1484" spans="1:21" ht="51">
      <c r="A1484" s="6">
        <v>43425.435358796298</v>
      </c>
      <c r="B1484" s="7" t="str">
        <f>HYPERLINK("https://twitter.com/RuyDeClavijo","@RuyDeClavijo")</f>
        <v>@RuyDeClavijo</v>
      </c>
      <c r="C1484" s="8" t="s">
        <v>2335</v>
      </c>
      <c r="D1484" s="9" t="s">
        <v>3627</v>
      </c>
      <c r="E1484" s="10" t="str">
        <f>HYPERLINK("https://twitter.com/RuyDeClavijo/status/1065174711036977157","1065174711036977157")</f>
        <v>1065174711036977157</v>
      </c>
      <c r="F1484" s="12"/>
      <c r="G1484" s="11" t="s">
        <v>3628</v>
      </c>
      <c r="H1484" s="12"/>
      <c r="I1484" s="13">
        <v>15</v>
      </c>
      <c r="J1484" s="13">
        <v>13</v>
      </c>
      <c r="K1484" s="14" t="str">
        <f>HYPERLINK("http://twitter.com/download/android","Twitter for Android")</f>
        <v>Twitter for Android</v>
      </c>
      <c r="L1484" s="13">
        <v>15378</v>
      </c>
      <c r="M1484" s="13">
        <v>14437</v>
      </c>
      <c r="N1484" s="13">
        <v>99</v>
      </c>
      <c r="O1484" s="15"/>
      <c r="P1484" s="6">
        <v>41213.966956018521</v>
      </c>
      <c r="Q1484" s="16" t="s">
        <v>2339</v>
      </c>
      <c r="R1484" s="17" t="s">
        <v>2340</v>
      </c>
      <c r="S1484" s="12"/>
      <c r="T1484" s="12"/>
      <c r="U1484" s="10" t="str">
        <f>HYPERLINK("https://pbs.twimg.com/profile_images/1060639465062981633/hfcZ7VKB.jpg","View")</f>
        <v>View</v>
      </c>
    </row>
    <row r="1485" spans="1:21" ht="30.6">
      <c r="A1485" s="6">
        <v>43425.435104166667</v>
      </c>
      <c r="B1485" s="7" t="str">
        <f>HYPERLINK("https://twitter.com/sergiocortina","@sergiocortina")</f>
        <v>@sergiocortina</v>
      </c>
      <c r="C1485" s="8" t="s">
        <v>6634</v>
      </c>
      <c r="D1485" s="9" t="s">
        <v>6635</v>
      </c>
      <c r="E1485" s="10" t="str">
        <f>HYPERLINK("https://twitter.com/sergiocortina/status/1065174616023490562","1065174616023490562")</f>
        <v>1065174616023490562</v>
      </c>
      <c r="F1485" s="12"/>
      <c r="G1485" s="11" t="s">
        <v>6636</v>
      </c>
      <c r="H1485" s="12"/>
      <c r="I1485" s="13">
        <v>0</v>
      </c>
      <c r="J1485" s="13">
        <v>5</v>
      </c>
      <c r="K1485" s="14" t="str">
        <f>HYPERLINK("https://about.twitter.com/products/tweetdeck","TweetDeck")</f>
        <v>TweetDeck</v>
      </c>
      <c r="L1485" s="13">
        <v>4444</v>
      </c>
      <c r="M1485" s="13">
        <v>696</v>
      </c>
      <c r="N1485" s="13">
        <v>146</v>
      </c>
      <c r="O1485" s="18" t="s">
        <v>36</v>
      </c>
      <c r="P1485" s="6">
        <v>40206.699930555558</v>
      </c>
      <c r="Q1485" s="16" t="s">
        <v>6637</v>
      </c>
      <c r="R1485" s="17" t="s">
        <v>6638</v>
      </c>
      <c r="S1485" s="11" t="s">
        <v>6639</v>
      </c>
      <c r="T1485" s="12"/>
      <c r="U1485" s="10" t="str">
        <f>HYPERLINK("https://pbs.twimg.com/profile_images/1043102288800362497/teCg6D_4.jpg","View")</f>
        <v>View</v>
      </c>
    </row>
    <row r="1486" spans="1:21" ht="20.399999999999999">
      <c r="A1486" s="6">
        <v>43425.432615740741</v>
      </c>
      <c r="B1486" s="7" t="str">
        <f>HYPERLINK("https://twitter.com/antoniolunamar1","@antoniolunamar1")</f>
        <v>@antoniolunamar1</v>
      </c>
      <c r="C1486" s="8" t="s">
        <v>6640</v>
      </c>
      <c r="D1486" s="9" t="s">
        <v>6641</v>
      </c>
      <c r="E1486" s="10" t="str">
        <f>HYPERLINK("https://twitter.com/antoniolunamar1/status/1065173717142171648","1065173717142171648")</f>
        <v>1065173717142171648</v>
      </c>
      <c r="F1486" s="11" t="s">
        <v>6642</v>
      </c>
      <c r="G1486" s="12"/>
      <c r="H1486" s="12"/>
      <c r="I1486" s="13">
        <v>0</v>
      </c>
      <c r="J1486" s="13">
        <v>0</v>
      </c>
      <c r="K1486" s="14" t="str">
        <f>HYPERLINK("https://www.google.com/","Google")</f>
        <v>Google</v>
      </c>
      <c r="L1486" s="13">
        <v>13</v>
      </c>
      <c r="M1486" s="13">
        <v>44</v>
      </c>
      <c r="N1486" s="13">
        <v>1</v>
      </c>
      <c r="O1486" s="15"/>
      <c r="P1486" s="6">
        <v>41898.92664351852</v>
      </c>
      <c r="Q1486" s="12"/>
      <c r="R1486" s="19"/>
      <c r="S1486" s="12"/>
      <c r="T1486" s="12"/>
      <c r="U1486" s="18" t="s">
        <v>559</v>
      </c>
    </row>
    <row r="1487" spans="1:21" ht="61.2">
      <c r="A1487" s="6">
        <v>43425.432534722218</v>
      </c>
      <c r="B1487" s="7" t="str">
        <f>HYPERLINK("https://twitter.com/andergsolana","@andergsolana")</f>
        <v>@andergsolana</v>
      </c>
      <c r="C1487" s="8" t="s">
        <v>1361</v>
      </c>
      <c r="D1487" s="9" t="s">
        <v>3629</v>
      </c>
      <c r="E1487" s="10" t="str">
        <f>HYPERLINK("https://twitter.com/andergsolana/status/1065173684716036098","1065173684716036098")</f>
        <v>1065173684716036098</v>
      </c>
      <c r="F1487" s="16" t="s">
        <v>3630</v>
      </c>
      <c r="G1487" s="11" t="s">
        <v>3631</v>
      </c>
      <c r="H1487" s="12"/>
      <c r="I1487" s="13">
        <v>0</v>
      </c>
      <c r="J1487" s="13">
        <v>0</v>
      </c>
      <c r="K1487" s="14" t="str">
        <f>HYPERLINK("http://twitter.com/download/android","Twitter for Android")</f>
        <v>Twitter for Android</v>
      </c>
      <c r="L1487" s="13">
        <v>877</v>
      </c>
      <c r="M1487" s="13">
        <v>340</v>
      </c>
      <c r="N1487" s="13">
        <v>24</v>
      </c>
      <c r="O1487" s="15"/>
      <c r="P1487" s="6">
        <v>41798.895613425928</v>
      </c>
      <c r="Q1487" s="12"/>
      <c r="R1487" s="17" t="s">
        <v>1366</v>
      </c>
      <c r="S1487" s="12"/>
      <c r="T1487" s="12"/>
      <c r="U1487" s="10" t="str">
        <f>HYPERLINK("https://pbs.twimg.com/profile_images/654311950558625792/RYG74NKt.jpg","View")</f>
        <v>View</v>
      </c>
    </row>
    <row r="1488" spans="1:21" ht="40.799999999999997">
      <c r="A1488" s="6">
        <v>43425.430821759262</v>
      </c>
      <c r="B1488" s="7" t="str">
        <f>HYPERLINK("https://twitter.com/PilotoRojo73","@PilotoRojo73")</f>
        <v>@PilotoRojo73</v>
      </c>
      <c r="C1488" s="8" t="s">
        <v>5496</v>
      </c>
      <c r="D1488" s="9" t="s">
        <v>6643</v>
      </c>
      <c r="E1488" s="10" t="str">
        <f>HYPERLINK("https://twitter.com/PilotoRojo73/status/1065173066232340480","1065173066232340480")</f>
        <v>1065173066232340480</v>
      </c>
      <c r="F1488" s="11" t="s">
        <v>6644</v>
      </c>
      <c r="G1488" s="12"/>
      <c r="H1488" s="12"/>
      <c r="I1488" s="13">
        <v>7</v>
      </c>
      <c r="J1488" s="13">
        <v>3</v>
      </c>
      <c r="K1488" s="14" t="str">
        <f>HYPERLINK("https://mobile.twitter.com","Twitter Lite")</f>
        <v>Twitter Lite</v>
      </c>
      <c r="L1488" s="13">
        <v>10216</v>
      </c>
      <c r="M1488" s="13">
        <v>7890</v>
      </c>
      <c r="N1488" s="13">
        <v>60</v>
      </c>
      <c r="O1488" s="15"/>
      <c r="P1488" s="6">
        <v>42494.038310185184</v>
      </c>
      <c r="Q1488" s="16" t="s">
        <v>5501</v>
      </c>
      <c r="R1488" s="17" t="s">
        <v>5502</v>
      </c>
      <c r="S1488" s="11" t="s">
        <v>5503</v>
      </c>
      <c r="T1488" s="12"/>
      <c r="U1488" s="10" t="str">
        <f>HYPERLINK("https://pbs.twimg.com/profile_images/1051228030612492288/ocTykL51.jpg","View")</f>
        <v>View</v>
      </c>
    </row>
    <row r="1489" spans="1:21" ht="30.6">
      <c r="A1489" s="6">
        <v>43425.430243055554</v>
      </c>
      <c r="B1489" s="7" t="str">
        <f>HYPERLINK("https://twitter.com/pau73cat","@pau73cat")</f>
        <v>@pau73cat</v>
      </c>
      <c r="C1489" s="8" t="s">
        <v>6645</v>
      </c>
      <c r="D1489" s="9" t="s">
        <v>6646</v>
      </c>
      <c r="E1489" s="10" t="str">
        <f>HYPERLINK("https://twitter.com/pau73cat/status/1065172856307417088","1065172856307417088")</f>
        <v>1065172856307417088</v>
      </c>
      <c r="F1489" s="11" t="s">
        <v>6647</v>
      </c>
      <c r="G1489" s="12"/>
      <c r="H1489" s="12"/>
      <c r="I1489" s="13">
        <v>0</v>
      </c>
      <c r="J1489" s="13">
        <v>0</v>
      </c>
      <c r="K1489" s="14" t="str">
        <f>HYPERLINK("http://twitter.com/download/android","Twitter for Android")</f>
        <v>Twitter for Android</v>
      </c>
      <c r="L1489" s="13">
        <v>2746</v>
      </c>
      <c r="M1489" s="13">
        <v>2502</v>
      </c>
      <c r="N1489" s="13">
        <v>61</v>
      </c>
      <c r="O1489" s="15"/>
      <c r="P1489" s="6">
        <v>40284.5003125</v>
      </c>
      <c r="Q1489" s="16" t="s">
        <v>6648</v>
      </c>
      <c r="R1489" s="17" t="s">
        <v>6649</v>
      </c>
      <c r="S1489" s="12"/>
      <c r="T1489" s="12"/>
      <c r="U1489" s="10" t="str">
        <f>HYPERLINK("https://pbs.twimg.com/profile_images/1001813697940029440/-8uRZu8P.jpg","View")</f>
        <v>View</v>
      </c>
    </row>
    <row r="1490" spans="1:21" ht="30.6">
      <c r="A1490" s="6">
        <v>43425.428252314814</v>
      </c>
      <c r="B1490" s="7" t="str">
        <f>HYPERLINK("https://twitter.com/Playtele_es","@Playtele_es")</f>
        <v>@Playtele_es</v>
      </c>
      <c r="C1490" s="8" t="s">
        <v>6650</v>
      </c>
      <c r="D1490" s="9" t="s">
        <v>6651</v>
      </c>
      <c r="E1490" s="10" t="str">
        <f>HYPERLINK("https://twitter.com/Playtele_es/status/1065172135906287616","1065172135906287616")</f>
        <v>1065172135906287616</v>
      </c>
      <c r="F1490" s="16" t="s">
        <v>6652</v>
      </c>
      <c r="G1490" s="12"/>
      <c r="H1490" s="12"/>
      <c r="I1490" s="13">
        <v>0</v>
      </c>
      <c r="J1490" s="13">
        <v>0</v>
      </c>
      <c r="K1490" s="14" t="str">
        <f>HYPERLINK("http://publicize.wp.com/","WordPress.com")</f>
        <v>WordPress.com</v>
      </c>
      <c r="L1490" s="13">
        <v>441</v>
      </c>
      <c r="M1490" s="13">
        <v>305</v>
      </c>
      <c r="N1490" s="13">
        <v>19</v>
      </c>
      <c r="O1490" s="15"/>
      <c r="P1490" s="6">
        <v>41670.899178240739</v>
      </c>
      <c r="Q1490" s="16" t="s">
        <v>37</v>
      </c>
      <c r="R1490" s="17" t="s">
        <v>6653</v>
      </c>
      <c r="S1490" s="11" t="s">
        <v>6654</v>
      </c>
      <c r="T1490" s="12"/>
      <c r="U1490" s="10" t="str">
        <f>HYPERLINK("https://pbs.twimg.com/profile_images/945366092456906753/KV6J_byY.jpg","View")</f>
        <v>View</v>
      </c>
    </row>
    <row r="1491" spans="1:21" ht="30.6">
      <c r="A1491" s="6">
        <v>43425.427604166667</v>
      </c>
      <c r="B1491" s="7" t="str">
        <f>HYPERLINK("https://twitter.com/cuquerella","@cuquerella")</f>
        <v>@cuquerella</v>
      </c>
      <c r="C1491" s="8" t="s">
        <v>6655</v>
      </c>
      <c r="D1491" s="9" t="s">
        <v>6656</v>
      </c>
      <c r="E1491" s="10" t="str">
        <f>HYPERLINK("https://twitter.com/cuquerella/status/1065171898382860288","1065171898382860288")</f>
        <v>1065171898382860288</v>
      </c>
      <c r="F1491" s="11" t="s">
        <v>6657</v>
      </c>
      <c r="G1491" s="12"/>
      <c r="H1491" s="12"/>
      <c r="I1491" s="13">
        <v>0</v>
      </c>
      <c r="J1491" s="13">
        <v>0</v>
      </c>
      <c r="K1491" s="14" t="str">
        <f>HYPERLINK("http://twitter.com","Twitter Web Client")</f>
        <v>Twitter Web Client</v>
      </c>
      <c r="L1491" s="13">
        <v>1724</v>
      </c>
      <c r="M1491" s="13">
        <v>1272</v>
      </c>
      <c r="N1491" s="13">
        <v>38</v>
      </c>
      <c r="O1491" s="15"/>
      <c r="P1491" s="6">
        <v>40039.323425925926</v>
      </c>
      <c r="Q1491" s="12"/>
      <c r="R1491" s="17" t="s">
        <v>6658</v>
      </c>
      <c r="S1491" s="12"/>
      <c r="T1491" s="12"/>
      <c r="U1491" s="10" t="str">
        <f>HYPERLINK("https://pbs.twimg.com/profile_images/1829692697/penyassegat.JPG","View")</f>
        <v>View</v>
      </c>
    </row>
    <row r="1492" spans="1:21" ht="40.799999999999997">
      <c r="A1492" s="6">
        <v>43425.426863425921</v>
      </c>
      <c r="B1492" s="7" t="str">
        <f>HYPERLINK("https://twitter.com/pallars_lourdes","@pallars_lourdes")</f>
        <v>@pallars_lourdes</v>
      </c>
      <c r="C1492" s="8" t="s">
        <v>3633</v>
      </c>
      <c r="D1492" s="9" t="s">
        <v>3634</v>
      </c>
      <c r="E1492" s="10" t="str">
        <f>HYPERLINK("https://twitter.com/pallars_lourdes/status/1065171630928945152","1065171630928945152")</f>
        <v>1065171630928945152</v>
      </c>
      <c r="F1492" s="12"/>
      <c r="G1492" s="12"/>
      <c r="H1492" s="12"/>
      <c r="I1492" s="13">
        <v>0</v>
      </c>
      <c r="J1492" s="13">
        <v>0</v>
      </c>
      <c r="K1492" s="14" t="str">
        <f>HYPERLINK("http://twitter.com/download/android","Twitter for Android")</f>
        <v>Twitter for Android</v>
      </c>
      <c r="L1492" s="13">
        <v>426</v>
      </c>
      <c r="M1492" s="13">
        <v>1820</v>
      </c>
      <c r="N1492" s="13">
        <v>3</v>
      </c>
      <c r="O1492" s="15"/>
      <c r="P1492" s="6">
        <v>41703.939004629632</v>
      </c>
      <c r="Q1492" s="12"/>
      <c r="R1492" s="17" t="s">
        <v>3635</v>
      </c>
      <c r="S1492" s="12"/>
      <c r="T1492" s="12"/>
      <c r="U1492" s="10" t="str">
        <f>HYPERLINK("https://pbs.twimg.com/profile_images/988679558428876800/DdTc4vOQ.jpg","View")</f>
        <v>View</v>
      </c>
    </row>
    <row r="1493" spans="1:21" ht="102">
      <c r="A1493" s="6">
        <v>43425.426851851851</v>
      </c>
      <c r="B1493" s="7" t="str">
        <f>HYPERLINK("https://twitter.com/PrimodelRivera1","@PrimodelRivera1")</f>
        <v>@PrimodelRivera1</v>
      </c>
      <c r="C1493" s="8" t="s">
        <v>2524</v>
      </c>
      <c r="D1493" s="9" t="s">
        <v>3636</v>
      </c>
      <c r="E1493" s="10" t="str">
        <f>HYPERLINK("https://twitter.com/PrimodelRivera1/status/1065171626180968449","1065171626180968449")</f>
        <v>1065171626180968449</v>
      </c>
      <c r="F1493" s="11" t="s">
        <v>2769</v>
      </c>
      <c r="G1493" s="11" t="s">
        <v>2770</v>
      </c>
      <c r="H1493" s="12"/>
      <c r="I1493" s="13">
        <v>2</v>
      </c>
      <c r="J1493" s="13">
        <v>4</v>
      </c>
      <c r="K1493" s="14" t="str">
        <f>HYPERLINK("http://twitter.com","Twitter Web Client")</f>
        <v>Twitter Web Client</v>
      </c>
      <c r="L1493" s="13">
        <v>269</v>
      </c>
      <c r="M1493" s="13">
        <v>19</v>
      </c>
      <c r="N1493" s="13">
        <v>0</v>
      </c>
      <c r="O1493" s="15"/>
      <c r="P1493" s="6">
        <v>42485.805497685185</v>
      </c>
      <c r="Q1493" s="16" t="s">
        <v>37</v>
      </c>
      <c r="R1493" s="17" t="s">
        <v>2527</v>
      </c>
      <c r="S1493" s="11" t="s">
        <v>2528</v>
      </c>
      <c r="T1493" s="12"/>
      <c r="U1493" s="10" t="str">
        <f>HYPERLINK("https://pbs.twimg.com/profile_images/1003564554322939904/RPsC0PZ9.jpg","View")</f>
        <v>View</v>
      </c>
    </row>
    <row r="1494" spans="1:21" ht="51">
      <c r="A1494" s="6">
        <v>43425.426053240742</v>
      </c>
      <c r="B1494" s="7" t="str">
        <f>HYPERLINK("https://twitter.com/losfosfonautas","@losfosfonautas")</f>
        <v>@losfosfonautas</v>
      </c>
      <c r="C1494" s="8" t="s">
        <v>2548</v>
      </c>
      <c r="D1494" s="9" t="s">
        <v>3641</v>
      </c>
      <c r="E1494" s="10" t="str">
        <f>HYPERLINK("https://twitter.com/losfosfonautas/status/1065171335821828098","1065171335821828098")</f>
        <v>1065171335821828098</v>
      </c>
      <c r="F1494" s="11" t="s">
        <v>3644</v>
      </c>
      <c r="G1494" s="12"/>
      <c r="H1494" s="12"/>
      <c r="I1494" s="13">
        <v>4</v>
      </c>
      <c r="J1494" s="13">
        <v>25</v>
      </c>
      <c r="K1494" s="14" t="str">
        <f>HYPERLINK("http://www.facebook.com/twitter","Facebook")</f>
        <v>Facebook</v>
      </c>
      <c r="L1494" s="13">
        <v>30093</v>
      </c>
      <c r="M1494" s="13">
        <v>1123</v>
      </c>
      <c r="N1494" s="13">
        <v>145</v>
      </c>
      <c r="O1494" s="15"/>
      <c r="P1494" s="6">
        <v>41233.60670138889</v>
      </c>
      <c r="Q1494" s="12"/>
      <c r="R1494" s="17" t="s">
        <v>2554</v>
      </c>
      <c r="S1494" s="11" t="s">
        <v>2555</v>
      </c>
      <c r="T1494" s="12"/>
      <c r="U1494" s="10" t="str">
        <f>HYPERLINK("https://pbs.twimg.com/profile_images/1046663874672566272/P1zhp-H7.jpg","View")</f>
        <v>View</v>
      </c>
    </row>
    <row r="1495" spans="1:21" ht="51">
      <c r="A1495" s="6">
        <v>43425.425023148149</v>
      </c>
      <c r="B1495" s="7" t="str">
        <f>HYPERLINK("https://twitter.com/Lord_Doonsany","@Lord_Doonsany")</f>
        <v>@Lord_Doonsany</v>
      </c>
      <c r="C1495" s="8" t="s">
        <v>6659</v>
      </c>
      <c r="D1495" s="9" t="s">
        <v>6660</v>
      </c>
      <c r="E1495" s="10" t="str">
        <f>HYPERLINK("https://twitter.com/Lord_Doonsany/status/1065170965347409922","1065170965347409922")</f>
        <v>1065170965347409922</v>
      </c>
      <c r="F1495" s="12"/>
      <c r="G1495" s="12"/>
      <c r="H1495" s="12"/>
      <c r="I1495" s="13">
        <v>0</v>
      </c>
      <c r="J1495" s="13">
        <v>0</v>
      </c>
      <c r="K1495" s="14" t="str">
        <f>HYPERLINK("http://twitter.com","Twitter Web Client")</f>
        <v>Twitter Web Client</v>
      </c>
      <c r="L1495" s="13">
        <v>60</v>
      </c>
      <c r="M1495" s="13">
        <v>69</v>
      </c>
      <c r="N1495" s="13">
        <v>1</v>
      </c>
      <c r="O1495" s="15"/>
      <c r="P1495" s="6">
        <v>42158.056087962963</v>
      </c>
      <c r="Q1495" s="16" t="s">
        <v>6661</v>
      </c>
      <c r="R1495" s="17" t="s">
        <v>6662</v>
      </c>
      <c r="S1495" s="11" t="s">
        <v>6663</v>
      </c>
      <c r="T1495" s="12"/>
      <c r="U1495" s="10" t="str">
        <f>HYPERLINK("https://pbs.twimg.com/profile_images/947834242830143490/RU0Uc1Df.jpg","View")</f>
        <v>View</v>
      </c>
    </row>
    <row r="1496" spans="1:21" ht="51">
      <c r="A1496" s="6">
        <v>43425.423414351855</v>
      </c>
      <c r="B1496" s="7" t="str">
        <f>HYPERLINK("https://twitter.com/TTuiteroman","@TTuiteroman")</f>
        <v>@TTuiteroman</v>
      </c>
      <c r="C1496" s="8" t="s">
        <v>6664</v>
      </c>
      <c r="D1496" s="9" t="s">
        <v>6665</v>
      </c>
      <c r="E1496" s="10" t="str">
        <f>HYPERLINK("https://twitter.com/TTuiteroman/status/1065170381408010240","1065170381408010240")</f>
        <v>1065170381408010240</v>
      </c>
      <c r="F1496" s="16" t="s">
        <v>2623</v>
      </c>
      <c r="G1496" s="11" t="s">
        <v>65</v>
      </c>
      <c r="H1496" s="12"/>
      <c r="I1496" s="13">
        <v>0</v>
      </c>
      <c r="J1496" s="13">
        <v>0</v>
      </c>
      <c r="K1496" s="14" t="str">
        <f t="shared" ref="K1496:K1497" si="306">HYPERLINK("http://twitter.com/download/android","Twitter for Android")</f>
        <v>Twitter for Android</v>
      </c>
      <c r="L1496" s="13">
        <v>160</v>
      </c>
      <c r="M1496" s="13">
        <v>292</v>
      </c>
      <c r="N1496" s="13">
        <v>0</v>
      </c>
      <c r="O1496" s="15"/>
      <c r="P1496" s="6">
        <v>43164.500810185185</v>
      </c>
      <c r="Q1496" s="12"/>
      <c r="R1496" s="17" t="s">
        <v>6666</v>
      </c>
      <c r="S1496" s="12"/>
      <c r="T1496" s="12"/>
      <c r="U1496" s="10" t="str">
        <f>HYPERLINK("https://pbs.twimg.com/profile_images/970625286445453312/YvrD-ak1.jpg","View")</f>
        <v>View</v>
      </c>
    </row>
    <row r="1497" spans="1:21" ht="30.6">
      <c r="A1497" s="6">
        <v>43425.423090277778</v>
      </c>
      <c r="B1497" s="7" t="str">
        <f>HYPERLINK("https://twitter.com/pika0571","@pika0571")</f>
        <v>@pika0571</v>
      </c>
      <c r="C1497" s="8" t="s">
        <v>3649</v>
      </c>
      <c r="D1497" s="9" t="s">
        <v>3650</v>
      </c>
      <c r="E1497" s="10" t="str">
        <f>HYPERLINK("https://twitter.com/pika0571/status/1065170262130335744","1065170262130335744")</f>
        <v>1065170262130335744</v>
      </c>
      <c r="F1497" s="12"/>
      <c r="G1497" s="12"/>
      <c r="H1497" s="12"/>
      <c r="I1497" s="13">
        <v>0</v>
      </c>
      <c r="J1497" s="13">
        <v>0</v>
      </c>
      <c r="K1497" s="14" t="str">
        <f t="shared" si="306"/>
        <v>Twitter for Android</v>
      </c>
      <c r="L1497" s="13">
        <v>1277</v>
      </c>
      <c r="M1497" s="13">
        <v>2023</v>
      </c>
      <c r="N1497" s="13">
        <v>11</v>
      </c>
      <c r="O1497" s="15"/>
      <c r="P1497" s="6">
        <v>40477.463958333334</v>
      </c>
      <c r="Q1497" s="16" t="s">
        <v>496</v>
      </c>
      <c r="R1497" s="19"/>
      <c r="S1497" s="12"/>
      <c r="T1497" s="12"/>
      <c r="U1497" s="10" t="str">
        <f>HYPERLINK("https://pbs.twimg.com/profile_images/919614361307615232/__HH-6A0.jpg","View")</f>
        <v>View</v>
      </c>
    </row>
    <row r="1498" spans="1:21" ht="30.6">
      <c r="A1498" s="6">
        <v>43425.421851851846</v>
      </c>
      <c r="B1498" s="7" t="str">
        <f>HYPERLINK("https://twitter.com/abalos","@abalos")</f>
        <v>@abalos</v>
      </c>
      <c r="C1498" s="8" t="s">
        <v>3655</v>
      </c>
      <c r="D1498" s="9" t="s">
        <v>3656</v>
      </c>
      <c r="E1498" s="10" t="str">
        <f>HYPERLINK("https://twitter.com/abalos/status/1065169813885063168","1065169813885063168")</f>
        <v>1065169813885063168</v>
      </c>
      <c r="F1498" s="12"/>
      <c r="G1498" s="11" t="s">
        <v>3657</v>
      </c>
      <c r="H1498" s="12"/>
      <c r="I1498" s="13">
        <v>13</v>
      </c>
      <c r="J1498" s="13">
        <v>22</v>
      </c>
      <c r="K1498" s="14" t="str">
        <f>HYPERLINK("http://twitter.com/download/iphone","Twitter for iPhone")</f>
        <v>Twitter for iPhone</v>
      </c>
      <c r="L1498" s="13">
        <v>5906</v>
      </c>
      <c r="M1498" s="13">
        <v>1094</v>
      </c>
      <c r="N1498" s="13">
        <v>181</v>
      </c>
      <c r="O1498" s="15"/>
      <c r="P1498" s="6">
        <v>39362.107141203705</v>
      </c>
      <c r="Q1498" s="12"/>
      <c r="R1498" s="17" t="s">
        <v>3658</v>
      </c>
      <c r="S1498" s="12"/>
      <c r="T1498" s="12"/>
      <c r="U1498" s="10" t="str">
        <f>HYPERLINK("https://pbs.twimg.com/profile_images/975313592580009984/q1tZL9Nn.jpg","View")</f>
        <v>View</v>
      </c>
    </row>
    <row r="1499" spans="1:21" ht="20.399999999999999">
      <c r="A1499" s="6">
        <v>43425.421354166669</v>
      </c>
      <c r="B1499" s="7" t="str">
        <f>HYPERLINK("https://twitter.com/Panik81","@Panik81")</f>
        <v>@Panik81</v>
      </c>
      <c r="C1499" s="8" t="s">
        <v>1526</v>
      </c>
      <c r="D1499" s="9" t="s">
        <v>6667</v>
      </c>
      <c r="E1499" s="10" t="str">
        <f>HYPERLINK("https://twitter.com/Panik81/status/1065169636478595072","1065169636478595072")</f>
        <v>1065169636478595072</v>
      </c>
      <c r="F1499" s="12"/>
      <c r="G1499" s="11" t="s">
        <v>6668</v>
      </c>
      <c r="H1499" s="12"/>
      <c r="I1499" s="13">
        <v>18</v>
      </c>
      <c r="J1499" s="13">
        <v>24</v>
      </c>
      <c r="K1499" s="14" t="str">
        <f>HYPERLINK("http://twitter.com/download/android","Twitter for Android")</f>
        <v>Twitter for Android</v>
      </c>
      <c r="L1499" s="13">
        <v>12460</v>
      </c>
      <c r="M1499" s="13">
        <v>1544</v>
      </c>
      <c r="N1499" s="13">
        <v>109</v>
      </c>
      <c r="O1499" s="15"/>
      <c r="P1499" s="6">
        <v>40910.592569444445</v>
      </c>
      <c r="Q1499" s="12"/>
      <c r="R1499" s="17" t="s">
        <v>1529</v>
      </c>
      <c r="S1499" s="12"/>
      <c r="T1499" s="12"/>
      <c r="U1499" s="10" t="str">
        <f>HYPERLINK("https://pbs.twimg.com/profile_images/765530824049655808/6PS-97m7.jpg","View")</f>
        <v>View</v>
      </c>
    </row>
    <row r="1500" spans="1:21" ht="51">
      <c r="A1500" s="6">
        <v>43425.42123842593</v>
      </c>
      <c r="B1500" s="7" t="str">
        <f>HYPERLINK("https://twitter.com/mrfervenza","@mrfervenza")</f>
        <v>@mrfervenza</v>
      </c>
      <c r="C1500" s="8" t="s">
        <v>6669</v>
      </c>
      <c r="D1500" s="9" t="s">
        <v>6670</v>
      </c>
      <c r="E1500" s="10" t="str">
        <f>HYPERLINK("https://twitter.com/mrfervenza/status/1065169592589459457","1065169592589459457")</f>
        <v>1065169592589459457</v>
      </c>
      <c r="F1500" s="12"/>
      <c r="G1500" s="12"/>
      <c r="H1500" s="12"/>
      <c r="I1500" s="13">
        <v>0</v>
      </c>
      <c r="J1500" s="13">
        <v>0</v>
      </c>
      <c r="K1500" s="14" t="str">
        <f t="shared" ref="K1500:K1501" si="307">HYPERLINK("http://twitter.com","Twitter Web Client")</f>
        <v>Twitter Web Client</v>
      </c>
      <c r="L1500" s="13">
        <v>271</v>
      </c>
      <c r="M1500" s="13">
        <v>196</v>
      </c>
      <c r="N1500" s="13">
        <v>5</v>
      </c>
      <c r="O1500" s="15"/>
      <c r="P1500" s="6">
        <v>40577.55059027778</v>
      </c>
      <c r="Q1500" s="16" t="s">
        <v>6671</v>
      </c>
      <c r="R1500" s="17" t="s">
        <v>6672</v>
      </c>
      <c r="S1500" s="11" t="s">
        <v>6673</v>
      </c>
      <c r="T1500" s="12"/>
      <c r="U1500" s="10" t="str">
        <f>HYPERLINK("https://pbs.twimg.com/profile_images/378800000171089961/1b0a78cbbe5ce8828696a15746a423ca.jpeg","View")</f>
        <v>View</v>
      </c>
    </row>
    <row r="1501" spans="1:21" ht="81.599999999999994">
      <c r="A1501" s="6">
        <v>43425.420752314814</v>
      </c>
      <c r="B1501" s="7" t="str">
        <f>HYPERLINK("https://twitter.com/PrimodelRivera1","@PrimodelRivera1")</f>
        <v>@PrimodelRivera1</v>
      </c>
      <c r="C1501" s="8" t="s">
        <v>2524</v>
      </c>
      <c r="D1501" s="9" t="s">
        <v>3660</v>
      </c>
      <c r="E1501" s="10" t="str">
        <f>HYPERLINK("https://twitter.com/PrimodelRivera1/status/1065169416336347137","1065169416336347137")</f>
        <v>1065169416336347137</v>
      </c>
      <c r="F1501" s="11" t="s">
        <v>2769</v>
      </c>
      <c r="G1501" s="11" t="s">
        <v>2770</v>
      </c>
      <c r="H1501" s="12"/>
      <c r="I1501" s="13">
        <v>0</v>
      </c>
      <c r="J1501" s="13">
        <v>0</v>
      </c>
      <c r="K1501" s="14" t="str">
        <f t="shared" si="307"/>
        <v>Twitter Web Client</v>
      </c>
      <c r="L1501" s="13">
        <v>269</v>
      </c>
      <c r="M1501" s="13">
        <v>19</v>
      </c>
      <c r="N1501" s="13">
        <v>0</v>
      </c>
      <c r="O1501" s="15"/>
      <c r="P1501" s="6">
        <v>42485.805497685185</v>
      </c>
      <c r="Q1501" s="16" t="s">
        <v>37</v>
      </c>
      <c r="R1501" s="17" t="s">
        <v>2527</v>
      </c>
      <c r="S1501" s="11" t="s">
        <v>2528</v>
      </c>
      <c r="T1501" s="12"/>
      <c r="U1501" s="10" t="str">
        <f>HYPERLINK("https://pbs.twimg.com/profile_images/1003564554322939904/RPsC0PZ9.jpg","View")</f>
        <v>View</v>
      </c>
    </row>
    <row r="1502" spans="1:21" ht="51">
      <c r="A1502" s="6">
        <v>43425.41987268519</v>
      </c>
      <c r="B1502" s="7" t="str">
        <f>HYPERLINK("https://twitter.com/dotravez","@dotravez")</f>
        <v>@dotravez</v>
      </c>
      <c r="C1502" s="8" t="s">
        <v>3664</v>
      </c>
      <c r="D1502" s="9" t="s">
        <v>3665</v>
      </c>
      <c r="E1502" s="10" t="str">
        <f>HYPERLINK("https://twitter.com/dotravez/status/1065169098684985344","1065169098684985344")</f>
        <v>1065169098684985344</v>
      </c>
      <c r="F1502" s="12"/>
      <c r="G1502" s="12"/>
      <c r="H1502" s="12"/>
      <c r="I1502" s="13">
        <v>0</v>
      </c>
      <c r="J1502" s="13">
        <v>0</v>
      </c>
      <c r="K1502" s="14" t="str">
        <f>HYPERLINK("http://twitter.com/download/android","Twitter for Android")</f>
        <v>Twitter for Android</v>
      </c>
      <c r="L1502" s="13">
        <v>132</v>
      </c>
      <c r="M1502" s="13">
        <v>581</v>
      </c>
      <c r="N1502" s="13">
        <v>5</v>
      </c>
      <c r="O1502" s="15"/>
      <c r="P1502" s="6">
        <v>42240.424108796295</v>
      </c>
      <c r="Q1502" s="12"/>
      <c r="R1502" s="17" t="s">
        <v>3666</v>
      </c>
      <c r="S1502" s="12"/>
      <c r="T1502" s="12"/>
      <c r="U1502" s="10" t="str">
        <f>HYPERLINK("https://pbs.twimg.com/profile_images/635955194946306049/bBCYlZOi.jpg","View")</f>
        <v>View</v>
      </c>
    </row>
    <row r="1503" spans="1:21" ht="30.6">
      <c r="A1503" s="6">
        <v>43425.419166666667</v>
      </c>
      <c r="B1503" s="7" t="str">
        <f>HYPERLINK("https://twitter.com/ToniMSFLL","@ToniMSFLL")</f>
        <v>@ToniMSFLL</v>
      </c>
      <c r="C1503" s="8" t="s">
        <v>6674</v>
      </c>
      <c r="D1503" s="9" t="s">
        <v>6675</v>
      </c>
      <c r="E1503" s="10" t="str">
        <f>HYPERLINK("https://twitter.com/ToniMSFLL/status/1065168841385357312","1065168841385357312")</f>
        <v>1065168841385357312</v>
      </c>
      <c r="F1503" s="12"/>
      <c r="G1503" s="11" t="s">
        <v>6676</v>
      </c>
      <c r="H1503" s="12"/>
      <c r="I1503" s="13">
        <v>0</v>
      </c>
      <c r="J1503" s="13">
        <v>0</v>
      </c>
      <c r="K1503" s="14" t="str">
        <f>HYPERLINK("http://twitter.com/download/iphone","Twitter for iPhone")</f>
        <v>Twitter for iPhone</v>
      </c>
      <c r="L1503" s="13">
        <v>46</v>
      </c>
      <c r="M1503" s="13">
        <v>372</v>
      </c>
      <c r="N1503" s="13">
        <v>0</v>
      </c>
      <c r="O1503" s="15"/>
      <c r="P1503" s="6">
        <v>43078.98841435185</v>
      </c>
      <c r="Q1503" s="16" t="s">
        <v>6677</v>
      </c>
      <c r="R1503" s="17" t="s">
        <v>6678</v>
      </c>
      <c r="S1503" s="12"/>
      <c r="T1503" s="12"/>
      <c r="U1503" s="10" t="str">
        <f>HYPERLINK("https://pbs.twimg.com/profile_images/1003051165741875200/p0RPxp1-.jpg","View")</f>
        <v>View</v>
      </c>
    </row>
    <row r="1504" spans="1:21" ht="13.2">
      <c r="A1504" s="6">
        <v>43425.418530092589</v>
      </c>
      <c r="B1504" s="7" t="str">
        <f>HYPERLINK("https://twitter.com/gorkacastillo","@gorkacastillo")</f>
        <v>@gorkacastillo</v>
      </c>
      <c r="C1504" s="8" t="s">
        <v>6679</v>
      </c>
      <c r="D1504" s="9" t="s">
        <v>6680</v>
      </c>
      <c r="E1504" s="10" t="str">
        <f>HYPERLINK("https://twitter.com/gorkacastillo/status/1065168609645867008","1065168609645867008")</f>
        <v>1065168609645867008</v>
      </c>
      <c r="F1504" s="11" t="s">
        <v>6681</v>
      </c>
      <c r="G1504" s="12"/>
      <c r="H1504" s="12"/>
      <c r="I1504" s="13">
        <v>0</v>
      </c>
      <c r="J1504" s="13">
        <v>0</v>
      </c>
      <c r="K1504" s="14" t="str">
        <f>HYPERLINK("http://twitter.com","Twitter Web Client")</f>
        <v>Twitter Web Client</v>
      </c>
      <c r="L1504" s="13">
        <v>1476</v>
      </c>
      <c r="M1504" s="13">
        <v>407</v>
      </c>
      <c r="N1504" s="13">
        <v>58</v>
      </c>
      <c r="O1504" s="15"/>
      <c r="P1504" s="6">
        <v>40149.80709490741</v>
      </c>
      <c r="Q1504" s="12"/>
      <c r="R1504" s="17" t="s">
        <v>6682</v>
      </c>
      <c r="S1504" s="11" t="s">
        <v>6683</v>
      </c>
      <c r="T1504" s="12"/>
      <c r="U1504" s="10" t="str">
        <f>HYPERLINK("https://pbs.twimg.com/profile_images/984796014606471168/VCLn4YDu.jpg","View")</f>
        <v>View</v>
      </c>
    </row>
    <row r="1505" spans="1:21" ht="71.400000000000006">
      <c r="A1505" s="6">
        <v>43425.418310185181</v>
      </c>
      <c r="B1505" s="7" t="str">
        <f>HYPERLINK("https://twitter.com/SergioVela97","@SergioVela97")</f>
        <v>@SergioVela97</v>
      </c>
      <c r="C1505" s="8" t="s">
        <v>6684</v>
      </c>
      <c r="D1505" s="9" t="s">
        <v>6685</v>
      </c>
      <c r="E1505" s="10" t="str">
        <f>HYPERLINK("https://twitter.com/SergioVela97/status/1065168531493462016","1065168531493462016")</f>
        <v>1065168531493462016</v>
      </c>
      <c r="F1505" s="16" t="s">
        <v>6686</v>
      </c>
      <c r="G1505" s="12"/>
      <c r="H1505" s="12"/>
      <c r="I1505" s="13">
        <v>0</v>
      </c>
      <c r="J1505" s="13">
        <v>0</v>
      </c>
      <c r="K1505" s="14" t="str">
        <f>HYPERLINK("http://twitter.com/download/android","Twitter for Android")</f>
        <v>Twitter for Android</v>
      </c>
      <c r="L1505" s="13">
        <v>269</v>
      </c>
      <c r="M1505" s="13">
        <v>243</v>
      </c>
      <c r="N1505" s="13">
        <v>4</v>
      </c>
      <c r="O1505" s="15"/>
      <c r="P1505" s="6">
        <v>40992.585555555554</v>
      </c>
      <c r="Q1505" s="16" t="s">
        <v>6687</v>
      </c>
      <c r="R1505" s="17" t="s">
        <v>6688</v>
      </c>
      <c r="S1505" s="12"/>
      <c r="T1505" s="12"/>
      <c r="U1505" s="10" t="str">
        <f>HYPERLINK("https://pbs.twimg.com/profile_images/495174062227083265/iO1aVziu.jpeg","View")</f>
        <v>View</v>
      </c>
    </row>
    <row r="1506" spans="1:21" ht="51">
      <c r="A1506" s="6">
        <v>43425.41805555555</v>
      </c>
      <c r="B1506" s="7" t="str">
        <f>HYPERLINK("https://twitter.com/bitMomentum","@bitMomentum")</f>
        <v>@bitMomentum</v>
      </c>
      <c r="C1506" s="8" t="s">
        <v>706</v>
      </c>
      <c r="D1506" s="9" t="s">
        <v>3667</v>
      </c>
      <c r="E1506" s="10" t="str">
        <f>HYPERLINK("https://twitter.com/bitMomentum/status/1065168437964611586","1065168437964611586")</f>
        <v>1065168437964611586</v>
      </c>
      <c r="F1506" s="12"/>
      <c r="G1506" s="12"/>
      <c r="H1506" s="12"/>
      <c r="I1506" s="13">
        <v>0</v>
      </c>
      <c r="J1506" s="13">
        <v>0</v>
      </c>
      <c r="K1506" s="14" t="str">
        <f>HYPERLINK("http://www.bitmomentum.com","bitMomentum Bot")</f>
        <v>bitMomentum Bot</v>
      </c>
      <c r="L1506" s="13">
        <v>10132</v>
      </c>
      <c r="M1506" s="13">
        <v>1060</v>
      </c>
      <c r="N1506" s="13">
        <v>262</v>
      </c>
      <c r="O1506" s="15"/>
      <c r="P1506" s="6">
        <v>41608.667511574073</v>
      </c>
      <c r="Q1506" s="12"/>
      <c r="R1506" s="17" t="s">
        <v>708</v>
      </c>
      <c r="S1506" s="11" t="s">
        <v>709</v>
      </c>
      <c r="T1506" s="12"/>
      <c r="U1506" s="10" t="str">
        <f>HYPERLINK("https://pbs.twimg.com/profile_images/378800000862185241/20ij2H3u.png","View")</f>
        <v>View</v>
      </c>
    </row>
    <row r="1507" spans="1:21" ht="51">
      <c r="A1507" s="6">
        <v>43425.41777777778</v>
      </c>
      <c r="B1507" s="7" t="str">
        <f>HYPERLINK("https://twitter.com/mamen_baena_t","@mamen_baena_t")</f>
        <v>@mamen_baena_t</v>
      </c>
      <c r="C1507" s="8" t="s">
        <v>3668</v>
      </c>
      <c r="D1507" s="9" t="s">
        <v>3669</v>
      </c>
      <c r="E1507" s="10" t="str">
        <f>HYPERLINK("https://twitter.com/mamen_baena_t/status/1065168337603182592","1065168337603182592")</f>
        <v>1065168337603182592</v>
      </c>
      <c r="F1507" s="12"/>
      <c r="G1507" s="12"/>
      <c r="H1507" s="12"/>
      <c r="I1507" s="13">
        <v>0</v>
      </c>
      <c r="J1507" s="13">
        <v>0</v>
      </c>
      <c r="K1507" s="14" t="str">
        <f t="shared" ref="K1507:K1508" si="308">HYPERLINK("http://twitter.com/download/android","Twitter for Android")</f>
        <v>Twitter for Android</v>
      </c>
      <c r="L1507" s="13">
        <v>427</v>
      </c>
      <c r="M1507" s="13">
        <v>1947</v>
      </c>
      <c r="N1507" s="13">
        <v>5</v>
      </c>
      <c r="O1507" s="15"/>
      <c r="P1507" s="6">
        <v>40592.64916666667</v>
      </c>
      <c r="Q1507" s="12"/>
      <c r="R1507" s="19"/>
      <c r="S1507" s="12"/>
      <c r="T1507" s="12"/>
      <c r="U1507" s="10" t="str">
        <f>HYPERLINK("https://pbs.twimg.com/profile_images/1248119814/l_b04855cb8dc3904a69bda585b2b4b492.jpg","View")</f>
        <v>View</v>
      </c>
    </row>
    <row r="1508" spans="1:21" ht="81.599999999999994">
      <c r="A1508" s="6">
        <v>43425.417673611111</v>
      </c>
      <c r="B1508" s="7" t="str">
        <f>HYPERLINK("https://twitter.com/Jcanyizares","@Jcanyizares")</f>
        <v>@Jcanyizares</v>
      </c>
      <c r="C1508" s="8" t="s">
        <v>3672</v>
      </c>
      <c r="D1508" s="9" t="s">
        <v>3673</v>
      </c>
      <c r="E1508" s="10" t="str">
        <f>HYPERLINK("https://twitter.com/Jcanyizares/status/1065168300861210625","1065168300861210625")</f>
        <v>1065168300861210625</v>
      </c>
      <c r="F1508" s="16" t="s">
        <v>3675</v>
      </c>
      <c r="G1508" s="12"/>
      <c r="H1508" s="12"/>
      <c r="I1508" s="13">
        <v>2</v>
      </c>
      <c r="J1508" s="13">
        <v>2</v>
      </c>
      <c r="K1508" s="14" t="str">
        <f t="shared" si="308"/>
        <v>Twitter for Android</v>
      </c>
      <c r="L1508" s="13">
        <v>276</v>
      </c>
      <c r="M1508" s="13">
        <v>783</v>
      </c>
      <c r="N1508" s="13">
        <v>2</v>
      </c>
      <c r="O1508" s="15"/>
      <c r="P1508" s="6">
        <v>40208.612685185188</v>
      </c>
      <c r="Q1508" s="16" t="s">
        <v>310</v>
      </c>
      <c r="R1508" s="17" t="s">
        <v>3677</v>
      </c>
      <c r="S1508" s="11" t="s">
        <v>3679</v>
      </c>
      <c r="T1508" s="12"/>
      <c r="U1508" s="10" t="str">
        <f>HYPERLINK("https://pbs.twimg.com/profile_images/908325149333770240/WKhY1UiI.jpg","View")</f>
        <v>View</v>
      </c>
    </row>
    <row r="1509" spans="1:21" ht="40.799999999999997">
      <c r="A1509" s="6">
        <v>43425.417361111111</v>
      </c>
      <c r="B1509" s="7" t="str">
        <f>HYPERLINK("https://twitter.com/bitMomentum","@bitMomentum")</f>
        <v>@bitMomentum</v>
      </c>
      <c r="C1509" s="8" t="s">
        <v>706</v>
      </c>
      <c r="D1509" s="9" t="s">
        <v>3682</v>
      </c>
      <c r="E1509" s="10" t="str">
        <f>HYPERLINK("https://twitter.com/bitMomentum/status/1065168186356715520","1065168186356715520")</f>
        <v>1065168186356715520</v>
      </c>
      <c r="F1509" s="12"/>
      <c r="G1509" s="12"/>
      <c r="H1509" s="12"/>
      <c r="I1509" s="13">
        <v>0</v>
      </c>
      <c r="J1509" s="13">
        <v>2</v>
      </c>
      <c r="K1509" s="14" t="str">
        <f>HYPERLINK("http://www.bitmomentum.com","bitMomentum Bot")</f>
        <v>bitMomentum Bot</v>
      </c>
      <c r="L1509" s="13">
        <v>10132</v>
      </c>
      <c r="M1509" s="13">
        <v>1060</v>
      </c>
      <c r="N1509" s="13">
        <v>262</v>
      </c>
      <c r="O1509" s="15"/>
      <c r="P1509" s="6">
        <v>41608.667511574073</v>
      </c>
      <c r="Q1509" s="12"/>
      <c r="R1509" s="17" t="s">
        <v>708</v>
      </c>
      <c r="S1509" s="11" t="s">
        <v>709</v>
      </c>
      <c r="T1509" s="12"/>
      <c r="U1509" s="10" t="str">
        <f>HYPERLINK("https://pbs.twimg.com/profile_images/378800000862185241/20ij2H3u.png","View")</f>
        <v>View</v>
      </c>
    </row>
    <row r="1510" spans="1:21" ht="71.400000000000006">
      <c r="A1510" s="6">
        <v>43425.417013888888</v>
      </c>
      <c r="B1510" s="7" t="str">
        <f>HYPERLINK("https://twitter.com/MaribelMtnez","@MaribelMtnez")</f>
        <v>@MaribelMtnez</v>
      </c>
      <c r="C1510" s="8" t="s">
        <v>51</v>
      </c>
      <c r="D1510" s="9" t="s">
        <v>3687</v>
      </c>
      <c r="E1510" s="10" t="str">
        <f>HYPERLINK("https://twitter.com/MaribelMtnez/status/1065168061777498114","1065168061777498114")</f>
        <v>1065168061777498114</v>
      </c>
      <c r="F1510" s="16" t="s">
        <v>64</v>
      </c>
      <c r="G1510" s="11" t="s">
        <v>65</v>
      </c>
      <c r="H1510" s="12"/>
      <c r="I1510" s="13">
        <v>1</v>
      </c>
      <c r="J1510" s="13">
        <v>1</v>
      </c>
      <c r="K1510" s="14" t="str">
        <f t="shared" ref="K1510:K1512" si="309">HYPERLINK("http://twitter.com","Twitter Web Client")</f>
        <v>Twitter Web Client</v>
      </c>
      <c r="L1510" s="13">
        <v>1042</v>
      </c>
      <c r="M1510" s="13">
        <v>421</v>
      </c>
      <c r="N1510" s="13">
        <v>31</v>
      </c>
      <c r="O1510" s="15"/>
      <c r="P1510" s="6">
        <v>40821.675266203703</v>
      </c>
      <c r="Q1510" s="16" t="s">
        <v>54</v>
      </c>
      <c r="R1510" s="17" t="s">
        <v>55</v>
      </c>
      <c r="S1510" s="12"/>
      <c r="T1510" s="12"/>
      <c r="U1510" s="10" t="str">
        <f>HYPERLINK("https://pbs.twimg.com/profile_images/1031810516002504704/c92eg_GX.jpg","View")</f>
        <v>View</v>
      </c>
    </row>
    <row r="1511" spans="1:21" ht="40.799999999999997">
      <c r="A1511" s="6">
        <v>43425.415729166663</v>
      </c>
      <c r="B1511" s="7" t="str">
        <f>HYPERLINK("https://twitter.com/AgenciaAtlas","@AgenciaAtlas")</f>
        <v>@AgenciaAtlas</v>
      </c>
      <c r="C1511" s="8" t="s">
        <v>3694</v>
      </c>
      <c r="D1511" s="9" t="s">
        <v>3695</v>
      </c>
      <c r="E1511" s="10" t="str">
        <f>HYPERLINK("https://twitter.com/AgenciaAtlas/status/1065167598210420739","1065167598210420739")</f>
        <v>1065167598210420739</v>
      </c>
      <c r="F1511" s="11" t="s">
        <v>3696</v>
      </c>
      <c r="G1511" s="12"/>
      <c r="H1511" s="12"/>
      <c r="I1511" s="13">
        <v>0</v>
      </c>
      <c r="J1511" s="13">
        <v>0</v>
      </c>
      <c r="K1511" s="14" t="str">
        <f t="shared" si="309"/>
        <v>Twitter Web Client</v>
      </c>
      <c r="L1511" s="13">
        <v>3159</v>
      </c>
      <c r="M1511" s="13">
        <v>661</v>
      </c>
      <c r="N1511" s="13">
        <v>129</v>
      </c>
      <c r="O1511" s="15"/>
      <c r="P1511" s="6">
        <v>40977.703530092593</v>
      </c>
      <c r="Q1511" s="16" t="s">
        <v>440</v>
      </c>
      <c r="R1511" s="17" t="s">
        <v>3699</v>
      </c>
      <c r="S1511" s="11" t="s">
        <v>3700</v>
      </c>
      <c r="T1511" s="12"/>
      <c r="U1511" s="10" t="str">
        <f>HYPERLINK("https://pbs.twimg.com/profile_images/1065939133569409025/6ldnT-Ks.jpg","View")</f>
        <v>View</v>
      </c>
    </row>
    <row r="1512" spans="1:21" ht="30.6">
      <c r="A1512" s="6">
        <v>43425.415509259255</v>
      </c>
      <c r="B1512" s="7" t="str">
        <f>HYPERLINK("https://twitter.com/_Gafas_y_reloj_","@_Gafas_y_reloj_")</f>
        <v>@_Gafas_y_reloj_</v>
      </c>
      <c r="C1512" s="8" t="s">
        <v>3111</v>
      </c>
      <c r="D1512" s="9" t="s">
        <v>6693</v>
      </c>
      <c r="E1512" s="10" t="str">
        <f>HYPERLINK("https://twitter.com/_Gafas_y_reloj_/status/1065167516190814208","1065167516190814208")</f>
        <v>1065167516190814208</v>
      </c>
      <c r="F1512" s="12"/>
      <c r="G1512" s="12"/>
      <c r="H1512" s="12"/>
      <c r="I1512" s="13">
        <v>9</v>
      </c>
      <c r="J1512" s="13">
        <v>14</v>
      </c>
      <c r="K1512" s="14" t="str">
        <f t="shared" si="309"/>
        <v>Twitter Web Client</v>
      </c>
      <c r="L1512" s="13">
        <v>11846</v>
      </c>
      <c r="M1512" s="13">
        <v>712</v>
      </c>
      <c r="N1512" s="13">
        <v>193</v>
      </c>
      <c r="O1512" s="15"/>
      <c r="P1512" s="6">
        <v>40803.430173611108</v>
      </c>
      <c r="Q1512" s="16" t="s">
        <v>3113</v>
      </c>
      <c r="R1512" s="17" t="s">
        <v>3114</v>
      </c>
      <c r="S1512" s="12"/>
      <c r="T1512" s="12"/>
      <c r="U1512" s="10" t="str">
        <f>HYPERLINK("https://pbs.twimg.com/profile_images/923940667965038593/LEd9tLut.jpg","View")</f>
        <v>View</v>
      </c>
    </row>
    <row r="1513" spans="1:21" ht="71.400000000000006">
      <c r="A1513" s="6">
        <v>43425.41542824074</v>
      </c>
      <c r="B1513" s="7" t="str">
        <f>HYPERLINK("https://twitter.com/tgsomoza","@tgsomoza")</f>
        <v>@tgsomoza</v>
      </c>
      <c r="C1513" s="8" t="s">
        <v>3703</v>
      </c>
      <c r="D1513" s="9" t="s">
        <v>3704</v>
      </c>
      <c r="E1513" s="10" t="str">
        <f>HYPERLINK("https://twitter.com/tgsomoza/status/1065167489158561792","1065167489158561792")</f>
        <v>1065167489158561792</v>
      </c>
      <c r="F1513" s="11" t="s">
        <v>3705</v>
      </c>
      <c r="G1513" s="11" t="s">
        <v>3707</v>
      </c>
      <c r="H1513" s="12"/>
      <c r="I1513" s="13">
        <v>0</v>
      </c>
      <c r="J1513" s="13">
        <v>1</v>
      </c>
      <c r="K1513" s="14" t="str">
        <f t="shared" ref="K1513:K1514" si="310">HYPERLINK("http://twitter.com/download/android","Twitter for Android")</f>
        <v>Twitter for Android</v>
      </c>
      <c r="L1513" s="13">
        <v>19</v>
      </c>
      <c r="M1513" s="13">
        <v>111</v>
      </c>
      <c r="N1513" s="13">
        <v>0</v>
      </c>
      <c r="O1513" s="15"/>
      <c r="P1513" s="6">
        <v>42074.952280092592</v>
      </c>
      <c r="Q1513" s="12"/>
      <c r="R1513" s="19"/>
      <c r="S1513" s="12"/>
      <c r="T1513" s="12"/>
      <c r="U1513" s="10" t="str">
        <f>HYPERLINK("https://pbs.twimg.com/profile_images/1052439786902962188/vBsRE0Uk.jpg","View")</f>
        <v>View</v>
      </c>
    </row>
    <row r="1514" spans="1:21" ht="20.399999999999999">
      <c r="A1514" s="6">
        <v>43425.414467592593</v>
      </c>
      <c r="B1514" s="7" t="str">
        <f>HYPERLINK("https://twitter.com/emiliopereziu","@emiliopereziu")</f>
        <v>@emiliopereziu</v>
      </c>
      <c r="C1514" s="8" t="s">
        <v>905</v>
      </c>
      <c r="D1514" s="9" t="s">
        <v>6694</v>
      </c>
      <c r="E1514" s="10" t="str">
        <f>HYPERLINK("https://twitter.com/emiliopereziu/status/1065167138275713024","1065167138275713024")</f>
        <v>1065167138275713024</v>
      </c>
      <c r="F1514" s="11" t="s">
        <v>6695</v>
      </c>
      <c r="G1514" s="12"/>
      <c r="H1514" s="12"/>
      <c r="I1514" s="13">
        <v>0</v>
      </c>
      <c r="J1514" s="13">
        <v>2</v>
      </c>
      <c r="K1514" s="14" t="str">
        <f t="shared" si="310"/>
        <v>Twitter for Android</v>
      </c>
      <c r="L1514" s="13">
        <v>23516</v>
      </c>
      <c r="M1514" s="13">
        <v>14225</v>
      </c>
      <c r="N1514" s="13">
        <v>137</v>
      </c>
      <c r="O1514" s="15"/>
      <c r="P1514" s="6">
        <v>41479.692824074074</v>
      </c>
      <c r="Q1514" s="16" t="s">
        <v>908</v>
      </c>
      <c r="R1514" s="17" t="s">
        <v>909</v>
      </c>
      <c r="S1514" s="12"/>
      <c r="T1514" s="12"/>
      <c r="U1514" s="10" t="str">
        <f>HYPERLINK("https://pbs.twimg.com/profile_images/1028010469980889094/HEJLTSOg.jpg","View")</f>
        <v>View</v>
      </c>
    </row>
    <row r="1515" spans="1:21" ht="51">
      <c r="A1515" s="6">
        <v>43425.413865740746</v>
      </c>
      <c r="B1515" s="7" t="str">
        <f>HYPERLINK("https://twitter.com/yendoporlibre","@yendoporlibre")</f>
        <v>@yendoporlibre</v>
      </c>
      <c r="C1515" s="8" t="s">
        <v>3712</v>
      </c>
      <c r="D1515" s="9" t="s">
        <v>3713</v>
      </c>
      <c r="E1515" s="10" t="str">
        <f>HYPERLINK("https://twitter.com/yendoporlibre/status/1065166920045993984","1065166920045993984")</f>
        <v>1065166920045993984</v>
      </c>
      <c r="F1515" s="11" t="s">
        <v>3714</v>
      </c>
      <c r="G1515" s="11" t="s">
        <v>3715</v>
      </c>
      <c r="H1515" s="12"/>
      <c r="I1515" s="13">
        <v>0</v>
      </c>
      <c r="J1515" s="13">
        <v>0</v>
      </c>
      <c r="K1515" s="14" t="str">
        <f>HYPERLINK("http://twitter.com/#!/download/ipad","Twitter for iPad")</f>
        <v>Twitter for iPad</v>
      </c>
      <c r="L1515" s="13">
        <v>811</v>
      </c>
      <c r="M1515" s="13">
        <v>1211</v>
      </c>
      <c r="N1515" s="13">
        <v>39</v>
      </c>
      <c r="O1515" s="15"/>
      <c r="P1515" s="6">
        <v>42292.669212962966</v>
      </c>
      <c r="Q1515" s="12"/>
      <c r="R1515" s="19"/>
      <c r="S1515" s="12"/>
      <c r="T1515" s="12"/>
      <c r="U1515" s="10" t="str">
        <f>HYPERLINK("https://pbs.twimg.com/profile_images/782653547695509506/AlCbybde.jpg","View")</f>
        <v>View</v>
      </c>
    </row>
    <row r="1516" spans="1:21" ht="40.799999999999997">
      <c r="A1516" s="6">
        <v>43425.413287037038</v>
      </c>
      <c r="B1516" s="7" t="str">
        <f>HYPERLINK("https://twitter.com/juanortiz076","@juanortiz076")</f>
        <v>@juanortiz076</v>
      </c>
      <c r="C1516" s="8" t="s">
        <v>1209</v>
      </c>
      <c r="D1516" s="9" t="s">
        <v>6696</v>
      </c>
      <c r="E1516" s="10" t="str">
        <f>HYPERLINK("https://twitter.com/juanortiz076/status/1065166711190634496","1065166711190634496")</f>
        <v>1065166711190634496</v>
      </c>
      <c r="F1516" s="11" t="s">
        <v>6697</v>
      </c>
      <c r="G1516" s="12"/>
      <c r="H1516" s="12"/>
      <c r="I1516" s="13">
        <v>0</v>
      </c>
      <c r="J1516" s="13">
        <v>0</v>
      </c>
      <c r="K1516" s="14" t="str">
        <f t="shared" ref="K1516:K1517" si="311">HYPERLINK("http://twitter.com/download/android","Twitter for Android")</f>
        <v>Twitter for Android</v>
      </c>
      <c r="L1516" s="13">
        <v>3818</v>
      </c>
      <c r="M1516" s="13">
        <v>3796</v>
      </c>
      <c r="N1516" s="13">
        <v>14</v>
      </c>
      <c r="O1516" s="15"/>
      <c r="P1516" s="6">
        <v>42159.128587962958</v>
      </c>
      <c r="Q1516" s="16" t="s">
        <v>1214</v>
      </c>
      <c r="R1516" s="17" t="s">
        <v>1215</v>
      </c>
      <c r="S1516" s="12"/>
      <c r="T1516" s="12"/>
      <c r="U1516" s="10" t="str">
        <f>HYPERLINK("https://pbs.twimg.com/profile_images/1040108619843489794/3N6Z4LBp.jpg","View")</f>
        <v>View</v>
      </c>
    </row>
    <row r="1517" spans="1:21" ht="40.799999999999997">
      <c r="A1517" s="6">
        <v>43425.412939814814</v>
      </c>
      <c r="B1517" s="7" t="str">
        <f>HYPERLINK("https://twitter.com/JdBpoesia","@JdBpoesia")</f>
        <v>@JdBpoesia</v>
      </c>
      <c r="C1517" s="8" t="s">
        <v>1566</v>
      </c>
      <c r="D1517" s="9" t="s">
        <v>3716</v>
      </c>
      <c r="E1517" s="10" t="str">
        <f>HYPERLINK("https://twitter.com/JdBpoesia/status/1065166586338844672","1065166586338844672")</f>
        <v>1065166586338844672</v>
      </c>
      <c r="F1517" s="16" t="s">
        <v>3460</v>
      </c>
      <c r="G1517" s="11" t="s">
        <v>3461</v>
      </c>
      <c r="H1517" s="12"/>
      <c r="I1517" s="13">
        <v>0</v>
      </c>
      <c r="J1517" s="13">
        <v>2</v>
      </c>
      <c r="K1517" s="14" t="str">
        <f t="shared" si="311"/>
        <v>Twitter for Android</v>
      </c>
      <c r="L1517" s="13">
        <v>70</v>
      </c>
      <c r="M1517" s="13">
        <v>90</v>
      </c>
      <c r="N1517" s="13">
        <v>3</v>
      </c>
      <c r="O1517" s="15"/>
      <c r="P1517" s="6">
        <v>42748.750972222224</v>
      </c>
      <c r="Q1517" s="16" t="s">
        <v>118</v>
      </c>
      <c r="R1517" s="17" t="s">
        <v>3717</v>
      </c>
      <c r="S1517" s="12"/>
      <c r="T1517" s="12"/>
      <c r="U1517" s="10" t="str">
        <f>HYPERLINK("https://pbs.twimg.com/profile_images/1026131775653928960/JPo1tjEH.jpg","View")</f>
        <v>View</v>
      </c>
    </row>
    <row r="1518" spans="1:21" ht="40.799999999999997">
      <c r="A1518" s="6">
        <v>43425.412615740745</v>
      </c>
      <c r="B1518" s="7" t="str">
        <f>HYPERLINK("https://twitter.com/_Gafas_y_reloj_","@_Gafas_y_reloj_")</f>
        <v>@_Gafas_y_reloj_</v>
      </c>
      <c r="C1518" s="8" t="s">
        <v>3111</v>
      </c>
      <c r="D1518" s="9" t="s">
        <v>3718</v>
      </c>
      <c r="E1518" s="10" t="str">
        <f>HYPERLINK("https://twitter.com/_Gafas_y_reloj_/status/1065166468139110400","1065166468139110400")</f>
        <v>1065166468139110400</v>
      </c>
      <c r="F1518" s="12"/>
      <c r="G1518" s="12"/>
      <c r="H1518" s="12"/>
      <c r="I1518" s="13">
        <v>87</v>
      </c>
      <c r="J1518" s="13">
        <v>128</v>
      </c>
      <c r="K1518" s="14" t="str">
        <f>HYPERLINK("http://twitter.com","Twitter Web Client")</f>
        <v>Twitter Web Client</v>
      </c>
      <c r="L1518" s="13">
        <v>11846</v>
      </c>
      <c r="M1518" s="13">
        <v>712</v>
      </c>
      <c r="N1518" s="13">
        <v>193</v>
      </c>
      <c r="O1518" s="15"/>
      <c r="P1518" s="6">
        <v>40803.430173611108</v>
      </c>
      <c r="Q1518" s="16" t="s">
        <v>3113</v>
      </c>
      <c r="R1518" s="17" t="s">
        <v>3114</v>
      </c>
      <c r="S1518" s="12"/>
      <c r="T1518" s="12"/>
      <c r="U1518" s="10" t="str">
        <f>HYPERLINK("https://pbs.twimg.com/profile_images/923940667965038593/LEd9tLut.jpg","View")</f>
        <v>View</v>
      </c>
    </row>
    <row r="1519" spans="1:21" ht="51">
      <c r="A1519" s="6">
        <v>43425.411111111112</v>
      </c>
      <c r="B1519" s="7" t="str">
        <f>HYPERLINK("https://twitter.com/paco_m_","@paco_m_")</f>
        <v>@paco_m_</v>
      </c>
      <c r="C1519" s="8" t="s">
        <v>3724</v>
      </c>
      <c r="D1519" s="9" t="s">
        <v>3725</v>
      </c>
      <c r="E1519" s="10" t="str">
        <f>HYPERLINK("https://twitter.com/paco_m_/status/1065165924662161408","1065165924662161408")</f>
        <v>1065165924662161408</v>
      </c>
      <c r="F1519" s="11" t="s">
        <v>3726</v>
      </c>
      <c r="G1519" s="12"/>
      <c r="H1519" s="12"/>
      <c r="I1519" s="13">
        <v>0</v>
      </c>
      <c r="J1519" s="13">
        <v>0</v>
      </c>
      <c r="K1519" s="14" t="str">
        <f t="shared" ref="K1519:K1521" si="312">HYPERLINK("http://twitter.com/download/android","Twitter for Android")</f>
        <v>Twitter for Android</v>
      </c>
      <c r="L1519" s="13">
        <v>327</v>
      </c>
      <c r="M1519" s="13">
        <v>257</v>
      </c>
      <c r="N1519" s="13">
        <v>11</v>
      </c>
      <c r="O1519" s="15"/>
      <c r="P1519" s="6">
        <v>41661.530474537038</v>
      </c>
      <c r="Q1519" s="12"/>
      <c r="R1519" s="17" t="s">
        <v>3727</v>
      </c>
      <c r="S1519" s="11" t="s">
        <v>3728</v>
      </c>
      <c r="T1519" s="12"/>
      <c r="U1519" s="10" t="str">
        <f>HYPERLINK("https://pbs.twimg.com/profile_images/1044109895094685696/sEUcUo79.jpg","View")</f>
        <v>View</v>
      </c>
    </row>
    <row r="1520" spans="1:21" ht="51">
      <c r="A1520" s="6">
        <v>43425.410775462966</v>
      </c>
      <c r="B1520" s="7" t="str">
        <f>HYPERLINK("https://twitter.com/sedlr_","@sedlr_")</f>
        <v>@sedlr_</v>
      </c>
      <c r="C1520" s="8" t="s">
        <v>1423</v>
      </c>
      <c r="D1520" s="9" t="s">
        <v>6698</v>
      </c>
      <c r="E1520" s="10" t="str">
        <f>HYPERLINK("https://twitter.com/sedlr_/status/1065165803312619522","1065165803312619522")</f>
        <v>1065165803312619522</v>
      </c>
      <c r="F1520" s="12"/>
      <c r="G1520" s="12"/>
      <c r="H1520" s="12"/>
      <c r="I1520" s="13">
        <v>80</v>
      </c>
      <c r="J1520" s="13">
        <v>120</v>
      </c>
      <c r="K1520" s="14" t="str">
        <f t="shared" si="312"/>
        <v>Twitter for Android</v>
      </c>
      <c r="L1520" s="13">
        <v>7672</v>
      </c>
      <c r="M1520" s="13">
        <v>7329</v>
      </c>
      <c r="N1520" s="13">
        <v>33</v>
      </c>
      <c r="O1520" s="15"/>
      <c r="P1520" s="6">
        <v>41250.693912037037</v>
      </c>
      <c r="Q1520" s="16" t="s">
        <v>759</v>
      </c>
      <c r="R1520" s="19"/>
      <c r="S1520" s="12"/>
      <c r="T1520" s="12"/>
      <c r="U1520" s="10" t="str">
        <f>HYPERLINK("https://pbs.twimg.com/profile_images/1026984752270782464/dquFa8_K.jpg","View")</f>
        <v>View</v>
      </c>
    </row>
    <row r="1521" spans="1:21" ht="51">
      <c r="A1521" s="6">
        <v>43425.410092592589</v>
      </c>
      <c r="B1521" s="7" t="str">
        <f>HYPERLINK("https://twitter.com/PSOEHOVERA","@PSOEHOVERA")</f>
        <v>@PSOEHOVERA</v>
      </c>
      <c r="C1521" s="8" t="s">
        <v>3732</v>
      </c>
      <c r="D1521" s="9" t="s">
        <v>3733</v>
      </c>
      <c r="E1521" s="10" t="str">
        <f>HYPERLINK("https://twitter.com/PSOEHOVERA/status/1065165553768325121","1065165553768325121")</f>
        <v>1065165553768325121</v>
      </c>
      <c r="F1521" s="12"/>
      <c r="G1521" s="12"/>
      <c r="H1521" s="12"/>
      <c r="I1521" s="13">
        <v>0</v>
      </c>
      <c r="J1521" s="13">
        <v>0</v>
      </c>
      <c r="K1521" s="14" t="str">
        <f t="shared" si="312"/>
        <v>Twitter for Android</v>
      </c>
      <c r="L1521" s="13">
        <v>551</v>
      </c>
      <c r="M1521" s="13">
        <v>647</v>
      </c>
      <c r="N1521" s="13">
        <v>7</v>
      </c>
      <c r="O1521" s="15"/>
      <c r="P1521" s="6">
        <v>40628.53533564815</v>
      </c>
      <c r="Q1521" s="16" t="s">
        <v>3734</v>
      </c>
      <c r="R1521" s="17" t="s">
        <v>3735</v>
      </c>
      <c r="S1521" s="12"/>
      <c r="T1521" s="12"/>
      <c r="U1521" s="10" t="str">
        <f>HYPERLINK("https://pbs.twimg.com/profile_images/987809462143643654/fHlT7WCg.jpg","View")</f>
        <v>View</v>
      </c>
    </row>
    <row r="1522" spans="1:21" ht="40.799999999999997">
      <c r="A1522" s="6">
        <v>43425.409814814819</v>
      </c>
      <c r="B1522" s="7" t="str">
        <f>HYPERLINK("https://twitter.com/Cs_Terrassa","@Cs_Terrassa")</f>
        <v>@Cs_Terrassa</v>
      </c>
      <c r="C1522" s="8" t="s">
        <v>3738</v>
      </c>
      <c r="D1522" s="9" t="s">
        <v>3739</v>
      </c>
      <c r="E1522" s="10" t="str">
        <f>HYPERLINK("https://twitter.com/Cs_Terrassa/status/1065165455025995777","1065165455025995777")</f>
        <v>1065165455025995777</v>
      </c>
      <c r="F1522" s="11" t="s">
        <v>3742</v>
      </c>
      <c r="G1522" s="11" t="s">
        <v>3743</v>
      </c>
      <c r="H1522" s="12"/>
      <c r="I1522" s="13">
        <v>6</v>
      </c>
      <c r="J1522" s="13">
        <v>4</v>
      </c>
      <c r="K1522" s="14" t="str">
        <f>HYPERLINK("http://twitter.com","Twitter Web Client")</f>
        <v>Twitter Web Client</v>
      </c>
      <c r="L1522" s="13">
        <v>2463</v>
      </c>
      <c r="M1522" s="13">
        <v>1403</v>
      </c>
      <c r="N1522" s="13">
        <v>65</v>
      </c>
      <c r="O1522" s="15"/>
      <c r="P1522" s="6">
        <v>40831.513194444444</v>
      </c>
      <c r="Q1522" s="16" t="s">
        <v>3744</v>
      </c>
      <c r="R1522" s="17" t="s">
        <v>3745</v>
      </c>
      <c r="S1522" s="11" t="s">
        <v>3746</v>
      </c>
      <c r="T1522" s="12"/>
      <c r="U1522" s="10" t="str">
        <f>HYPERLINK("https://pbs.twimg.com/profile_images/895936436914069504/8gIRrt3m.jpg","View")</f>
        <v>View</v>
      </c>
    </row>
    <row r="1523" spans="1:21" ht="30.6">
      <c r="A1523" s="6">
        <v>43425.409780092596</v>
      </c>
      <c r="B1523" s="7" t="str">
        <f>HYPERLINK("https://twitter.com/gemelikacule","@gemelikacule")</f>
        <v>@gemelikacule</v>
      </c>
      <c r="C1523" s="8" t="s">
        <v>6699</v>
      </c>
      <c r="D1523" s="9" t="s">
        <v>6700</v>
      </c>
      <c r="E1523" s="10" t="str">
        <f>HYPERLINK("https://twitter.com/gemelikacule/status/1065165442396954625","1065165442396954625")</f>
        <v>1065165442396954625</v>
      </c>
      <c r="F1523" s="12"/>
      <c r="G1523" s="12"/>
      <c r="H1523" s="12"/>
      <c r="I1523" s="13">
        <v>1</v>
      </c>
      <c r="J1523" s="13">
        <v>2</v>
      </c>
      <c r="K1523" s="14" t="str">
        <f>HYPERLINK("http://twitter.com/download/iphone","Twitter for iPhone")</f>
        <v>Twitter for iPhone</v>
      </c>
      <c r="L1523" s="13">
        <v>3021</v>
      </c>
      <c r="M1523" s="13">
        <v>3824</v>
      </c>
      <c r="N1523" s="13">
        <v>16</v>
      </c>
      <c r="O1523" s="15"/>
      <c r="P1523" s="6">
        <v>40770.508946759262</v>
      </c>
      <c r="Q1523" s="16" t="s">
        <v>6701</v>
      </c>
      <c r="R1523" s="17" t="s">
        <v>6702</v>
      </c>
      <c r="S1523" s="11" t="s">
        <v>6703</v>
      </c>
      <c r="T1523" s="12"/>
      <c r="U1523" s="10" t="str">
        <f>HYPERLINK("https://pbs.twimg.com/profile_images/1036262028393021440/fW3XQSH3.jpg","View")</f>
        <v>View</v>
      </c>
    </row>
    <row r="1524" spans="1:21" ht="40.799999999999997">
      <c r="A1524" s="6">
        <v>43425.409085648149</v>
      </c>
      <c r="B1524" s="7" t="str">
        <f>HYPERLINK("https://twitter.com/KilometroCero","@KilometroCero")</f>
        <v>@KilometroCero</v>
      </c>
      <c r="C1524" s="8" t="s">
        <v>6704</v>
      </c>
      <c r="D1524" s="9" t="s">
        <v>6705</v>
      </c>
      <c r="E1524" s="10" t="str">
        <f>HYPERLINK("https://twitter.com/KilometroCero/status/1065165187869810689","1065165187869810689")</f>
        <v>1065165187869810689</v>
      </c>
      <c r="F1524" s="12"/>
      <c r="G1524" s="12"/>
      <c r="H1524" s="12"/>
      <c r="I1524" s="13">
        <v>3</v>
      </c>
      <c r="J1524" s="13">
        <v>9</v>
      </c>
      <c r="K1524" s="14" t="str">
        <f>HYPERLINK("https://about.twitter.com/products/tweetdeck","TweetDeck")</f>
        <v>TweetDeck</v>
      </c>
      <c r="L1524" s="13">
        <v>1072</v>
      </c>
      <c r="M1524" s="13">
        <v>1261</v>
      </c>
      <c r="N1524" s="13">
        <v>41</v>
      </c>
      <c r="O1524" s="15"/>
      <c r="P1524" s="6">
        <v>39740.00503472222</v>
      </c>
      <c r="Q1524" s="16" t="s">
        <v>496</v>
      </c>
      <c r="R1524" s="17" t="s">
        <v>6706</v>
      </c>
      <c r="S1524" s="12"/>
      <c r="T1524" s="12"/>
      <c r="U1524" s="10" t="str">
        <f>HYPERLINK("https://pbs.twimg.com/profile_images/1064886384408911872/1XmhClJr.jpg","View")</f>
        <v>View</v>
      </c>
    </row>
    <row r="1525" spans="1:21" ht="40.799999999999997">
      <c r="A1525" s="6">
        <v>43425.408738425926</v>
      </c>
      <c r="B1525" s="7" t="str">
        <f>HYPERLINK("https://twitter.com/marianofake","@marianofake")</f>
        <v>@marianofake</v>
      </c>
      <c r="C1525" s="8" t="s">
        <v>6195</v>
      </c>
      <c r="D1525" s="9" t="s">
        <v>6707</v>
      </c>
      <c r="E1525" s="10" t="str">
        <f>HYPERLINK("https://twitter.com/marianofake/status/1065165064464973829","1065165064464973829")</f>
        <v>1065165064464973829</v>
      </c>
      <c r="F1525" s="12"/>
      <c r="G1525" s="12"/>
      <c r="H1525" s="12"/>
      <c r="I1525" s="13">
        <v>914</v>
      </c>
      <c r="J1525" s="13">
        <v>1402</v>
      </c>
      <c r="K1525" s="14" t="str">
        <f t="shared" ref="K1525:K1526" si="313">HYPERLINK("http://twitter.com","Twitter Web Client")</f>
        <v>Twitter Web Client</v>
      </c>
      <c r="L1525" s="13">
        <v>6041</v>
      </c>
      <c r="M1525" s="13">
        <v>3163</v>
      </c>
      <c r="N1525" s="13">
        <v>19</v>
      </c>
      <c r="O1525" s="15"/>
      <c r="P1525" s="6">
        <v>42101.675752314812</v>
      </c>
      <c r="Q1525" s="12"/>
      <c r="R1525" s="17" t="s">
        <v>6197</v>
      </c>
      <c r="S1525" s="12"/>
      <c r="T1525" s="12"/>
      <c r="U1525" s="10" t="str">
        <f>HYPERLINK("https://pbs.twimg.com/profile_images/865123852795367424/p4pK2M21.jpg","View")</f>
        <v>View</v>
      </c>
    </row>
    <row r="1526" spans="1:21" ht="30.6">
      <c r="A1526" s="6">
        <v>43425.408657407403</v>
      </c>
      <c r="B1526" s="7" t="str">
        <f>HYPERLINK("https://twitter.com/Tzarrratustra","@Tzarrratustra")</f>
        <v>@Tzarrratustra</v>
      </c>
      <c r="C1526" s="8" t="s">
        <v>6708</v>
      </c>
      <c r="D1526" s="9" t="s">
        <v>6709</v>
      </c>
      <c r="E1526" s="10" t="str">
        <f>HYPERLINK("https://twitter.com/Tzarrratustra/status/1065165035192893440","1065165035192893440")</f>
        <v>1065165035192893440</v>
      </c>
      <c r="F1526" s="16" t="s">
        <v>3460</v>
      </c>
      <c r="G1526" s="11" t="s">
        <v>3461</v>
      </c>
      <c r="H1526" s="12"/>
      <c r="I1526" s="13">
        <v>2</v>
      </c>
      <c r="J1526" s="13">
        <v>7</v>
      </c>
      <c r="K1526" s="14" t="str">
        <f t="shared" si="313"/>
        <v>Twitter Web Client</v>
      </c>
      <c r="L1526" s="13">
        <v>649</v>
      </c>
      <c r="M1526" s="13">
        <v>406</v>
      </c>
      <c r="N1526" s="13">
        <v>8</v>
      </c>
      <c r="O1526" s="15"/>
      <c r="P1526" s="6">
        <v>42333.732673611114</v>
      </c>
      <c r="Q1526" s="16" t="s">
        <v>6710</v>
      </c>
      <c r="R1526" s="17" t="s">
        <v>6711</v>
      </c>
      <c r="S1526" s="11" t="s">
        <v>6712</v>
      </c>
      <c r="T1526" s="12"/>
      <c r="U1526" s="10" t="str">
        <f>HYPERLINK("https://pbs.twimg.com/profile_images/1057721637506822145/lSbZUfgJ.jpg","View")</f>
        <v>View</v>
      </c>
    </row>
    <row r="1527" spans="1:21" ht="71.400000000000006">
      <c r="A1527" s="6">
        <v>43425.408483796295</v>
      </c>
      <c r="B1527" s="7" t="str">
        <f>HYPERLINK("https://twitter.com/jmarcos78","@jmarcos78")</f>
        <v>@jmarcos78</v>
      </c>
      <c r="C1527" s="8" t="s">
        <v>3747</v>
      </c>
      <c r="D1527" s="9" t="s">
        <v>3748</v>
      </c>
      <c r="E1527" s="10" t="str">
        <f>HYPERLINK("https://twitter.com/jmarcos78/status/1065164971624067072","1065164971624067072")</f>
        <v>1065164971624067072</v>
      </c>
      <c r="F1527" s="16" t="s">
        <v>64</v>
      </c>
      <c r="G1527" s="11" t="s">
        <v>65</v>
      </c>
      <c r="H1527" s="12"/>
      <c r="I1527" s="13">
        <v>4</v>
      </c>
      <c r="J1527" s="13">
        <v>4</v>
      </c>
      <c r="K1527" s="14" t="str">
        <f>HYPERLINK("http://twitter.com/download/android","Twitter for Android")</f>
        <v>Twitter for Android</v>
      </c>
      <c r="L1527" s="13">
        <v>4932</v>
      </c>
      <c r="M1527" s="13">
        <v>1324</v>
      </c>
      <c r="N1527" s="13">
        <v>240</v>
      </c>
      <c r="O1527" s="15"/>
      <c r="P1527" s="6">
        <v>40304.757696759261</v>
      </c>
      <c r="Q1527" s="16" t="s">
        <v>496</v>
      </c>
      <c r="R1527" s="17" t="s">
        <v>3749</v>
      </c>
      <c r="S1527" s="11" t="s">
        <v>3750</v>
      </c>
      <c r="T1527" s="12"/>
      <c r="U1527" s="10" t="str">
        <f>HYPERLINK("https://pbs.twimg.com/profile_images/944712823724224512/_tsDftoS.jpg","View")</f>
        <v>View</v>
      </c>
    </row>
    <row r="1528" spans="1:21" ht="61.2">
      <c r="A1528" s="6">
        <v>43425.407939814817</v>
      </c>
      <c r="B1528" s="7" t="str">
        <f>HYPERLINK("https://twitter.com/miquelcasals4","@miquelcasals4")</f>
        <v>@miquelcasals4</v>
      </c>
      <c r="C1528" s="8" t="s">
        <v>3751</v>
      </c>
      <c r="D1528" s="9" t="s">
        <v>3752</v>
      </c>
      <c r="E1528" s="10" t="str">
        <f>HYPERLINK("https://twitter.com/miquelcasals4/status/1065164772776308737","1065164772776308737")</f>
        <v>1065164772776308737</v>
      </c>
      <c r="F1528" s="12"/>
      <c r="G1528" s="12"/>
      <c r="H1528" s="12"/>
      <c r="I1528" s="13">
        <v>2</v>
      </c>
      <c r="J1528" s="13">
        <v>1</v>
      </c>
      <c r="K1528" s="14" t="str">
        <f>HYPERLINK("http://twitter.com","Twitter Web Client")</f>
        <v>Twitter Web Client</v>
      </c>
      <c r="L1528" s="13">
        <v>912</v>
      </c>
      <c r="M1528" s="13">
        <v>875</v>
      </c>
      <c r="N1528" s="13">
        <v>0</v>
      </c>
      <c r="O1528" s="15"/>
      <c r="P1528" s="6">
        <v>43249.467303240745</v>
      </c>
      <c r="Q1528" s="16" t="s">
        <v>3753</v>
      </c>
      <c r="R1528" s="17" t="s">
        <v>3754</v>
      </c>
      <c r="S1528" s="12"/>
      <c r="T1528" s="12"/>
      <c r="U1528" s="10" t="str">
        <f>HYPERLINK("https://pbs.twimg.com/profile_images/1060873696305467393/tMwySVyk.jpg","View")</f>
        <v>View</v>
      </c>
    </row>
    <row r="1529" spans="1:21" ht="40.799999999999997">
      <c r="A1529" s="6">
        <v>43425.406689814816</v>
      </c>
      <c r="B1529" s="7" t="str">
        <f>HYPERLINK("https://twitter.com/buen_ppero","@buen_ppero")</f>
        <v>@buen_ppero</v>
      </c>
      <c r="C1529" s="8" t="s">
        <v>3755</v>
      </c>
      <c r="D1529" s="9" t="s">
        <v>3756</v>
      </c>
      <c r="E1529" s="10" t="str">
        <f>HYPERLINK("https://twitter.com/buen_ppero/status/1065164321976655873","1065164321976655873")</f>
        <v>1065164321976655873</v>
      </c>
      <c r="F1529" s="12"/>
      <c r="G1529" s="12"/>
      <c r="H1529" s="12"/>
      <c r="I1529" s="13">
        <v>0</v>
      </c>
      <c r="J1529" s="13">
        <v>0</v>
      </c>
      <c r="K1529" s="14" t="str">
        <f>HYPERLINK("http://twitter.com/download/iphone","Twitter for iPhone")</f>
        <v>Twitter for iPhone</v>
      </c>
      <c r="L1529" s="13">
        <v>24</v>
      </c>
      <c r="M1529" s="13">
        <v>100</v>
      </c>
      <c r="N1529" s="13">
        <v>1</v>
      </c>
      <c r="O1529" s="15"/>
      <c r="P1529" s="6">
        <v>42707.003368055557</v>
      </c>
      <c r="Q1529" s="16" t="s">
        <v>118</v>
      </c>
      <c r="R1529" s="17" t="s">
        <v>3757</v>
      </c>
      <c r="S1529" s="12"/>
      <c r="T1529" s="12"/>
      <c r="U1529" s="10" t="str">
        <f>HYPERLINK("https://pbs.twimg.com/profile_images/804826205363011588/_nTm3teb.jpg","View")</f>
        <v>View</v>
      </c>
    </row>
    <row r="1530" spans="1:21" ht="30.6">
      <c r="A1530" s="6">
        <v>43425.406585648147</v>
      </c>
      <c r="B1530" s="7" t="str">
        <f>HYPERLINK("https://twitter.com/JuanPorcel4","@JuanPorcel4")</f>
        <v>@JuanPorcel4</v>
      </c>
      <c r="C1530" s="8" t="s">
        <v>4079</v>
      </c>
      <c r="D1530" s="9" t="s">
        <v>6713</v>
      </c>
      <c r="E1530" s="10" t="str">
        <f>HYPERLINK("https://twitter.com/JuanPorcel4/status/1065164283254853632","1065164283254853632")</f>
        <v>1065164283254853632</v>
      </c>
      <c r="F1530" s="12"/>
      <c r="G1530" s="12"/>
      <c r="H1530" s="12"/>
      <c r="I1530" s="13">
        <v>4</v>
      </c>
      <c r="J1530" s="13">
        <v>8</v>
      </c>
      <c r="K1530" s="14" t="str">
        <f t="shared" ref="K1530:K1533" si="314">HYPERLINK("http://twitter.com/download/android","Twitter for Android")</f>
        <v>Twitter for Android</v>
      </c>
      <c r="L1530" s="13">
        <v>3084</v>
      </c>
      <c r="M1530" s="13">
        <v>2958</v>
      </c>
      <c r="N1530" s="13">
        <v>11</v>
      </c>
      <c r="O1530" s="15"/>
      <c r="P1530" s="6">
        <v>42017.493437500001</v>
      </c>
      <c r="Q1530" s="12"/>
      <c r="R1530" s="17" t="s">
        <v>4083</v>
      </c>
      <c r="S1530" s="12"/>
      <c r="T1530" s="12"/>
      <c r="U1530" s="10" t="str">
        <f>HYPERLINK("https://pbs.twimg.com/profile_images/690614624547397636/n_PV23Tm.jpg","View")</f>
        <v>View</v>
      </c>
    </row>
    <row r="1531" spans="1:21" ht="30.6">
      <c r="A1531" s="6">
        <v>43425.40452546296</v>
      </c>
      <c r="B1531" s="7" t="str">
        <f>HYPERLINK("https://twitter.com/RociolimonRocio","@RociolimonRocio")</f>
        <v>@RociolimonRocio</v>
      </c>
      <c r="C1531" s="8" t="s">
        <v>3761</v>
      </c>
      <c r="D1531" s="9" t="s">
        <v>3762</v>
      </c>
      <c r="E1531" s="10" t="str">
        <f>HYPERLINK("https://twitter.com/RociolimonRocio/status/1065163538325520384","1065163538325520384")</f>
        <v>1065163538325520384</v>
      </c>
      <c r="F1531" s="12"/>
      <c r="G1531" s="11" t="s">
        <v>3763</v>
      </c>
      <c r="H1531" s="12"/>
      <c r="I1531" s="13">
        <v>8</v>
      </c>
      <c r="J1531" s="13">
        <v>4</v>
      </c>
      <c r="K1531" s="14" t="str">
        <f t="shared" si="314"/>
        <v>Twitter for Android</v>
      </c>
      <c r="L1531" s="13">
        <v>4367</v>
      </c>
      <c r="M1531" s="13">
        <v>4994</v>
      </c>
      <c r="N1531" s="13">
        <v>29</v>
      </c>
      <c r="O1531" s="15"/>
      <c r="P1531" s="6">
        <v>42075.760694444441</v>
      </c>
      <c r="Q1531" s="16" t="s">
        <v>3764</v>
      </c>
      <c r="R1531" s="17" t="s">
        <v>3765</v>
      </c>
      <c r="S1531" s="12"/>
      <c r="T1531" s="12"/>
      <c r="U1531" s="10" t="str">
        <f>HYPERLINK("https://pbs.twimg.com/profile_images/1064085824269103104/wIqwdOm1.jpg","View")</f>
        <v>View</v>
      </c>
    </row>
    <row r="1532" spans="1:21" ht="30.6">
      <c r="A1532" s="6">
        <v>43425.40315972222</v>
      </c>
      <c r="B1532" s="7" t="str">
        <f>HYPERLINK("https://twitter.com/bechoch","@bechoch")</f>
        <v>@bechoch</v>
      </c>
      <c r="C1532" s="8" t="s">
        <v>2444</v>
      </c>
      <c r="D1532" s="9" t="s">
        <v>3766</v>
      </c>
      <c r="E1532" s="10" t="str">
        <f>HYPERLINK("https://twitter.com/bechoch/status/1065163041745108992","1065163041745108992")</f>
        <v>1065163041745108992</v>
      </c>
      <c r="F1532" s="12"/>
      <c r="G1532" s="12"/>
      <c r="H1532" s="12"/>
      <c r="I1532" s="13">
        <v>1</v>
      </c>
      <c r="J1532" s="13">
        <v>2</v>
      </c>
      <c r="K1532" s="14" t="str">
        <f t="shared" si="314"/>
        <v>Twitter for Android</v>
      </c>
      <c r="L1532" s="13">
        <v>1542</v>
      </c>
      <c r="M1532" s="13">
        <v>1494</v>
      </c>
      <c r="N1532" s="13">
        <v>33</v>
      </c>
      <c r="O1532" s="15"/>
      <c r="P1532" s="6">
        <v>41395.532870370371</v>
      </c>
      <c r="Q1532" s="12"/>
      <c r="R1532" s="17" t="s">
        <v>2446</v>
      </c>
      <c r="S1532" s="12"/>
      <c r="T1532" s="12"/>
      <c r="U1532" s="10" t="str">
        <f>HYPERLINK("https://pbs.twimg.com/profile_images/898575706136989697/2lWLxVVC.jpg","View")</f>
        <v>View</v>
      </c>
    </row>
    <row r="1533" spans="1:21" ht="20.399999999999999">
      <c r="A1533" s="6">
        <v>43425.402673611112</v>
      </c>
      <c r="B1533" s="7" t="str">
        <f>HYPERLINK("https://twitter.com/manolinelreal","@manolinelreal")</f>
        <v>@manolinelreal</v>
      </c>
      <c r="C1533" s="8" t="s">
        <v>1666</v>
      </c>
      <c r="D1533" s="9" t="s">
        <v>3769</v>
      </c>
      <c r="E1533" s="10" t="str">
        <f>HYPERLINK("https://twitter.com/manolinelreal/status/1065162866372894720","1065162866372894720")</f>
        <v>1065162866372894720</v>
      </c>
      <c r="F1533" s="11" t="s">
        <v>3369</v>
      </c>
      <c r="G1533" s="12"/>
      <c r="H1533" s="12"/>
      <c r="I1533" s="13">
        <v>0</v>
      </c>
      <c r="J1533" s="13">
        <v>0</v>
      </c>
      <c r="K1533" s="14" t="str">
        <f t="shared" si="314"/>
        <v>Twitter for Android</v>
      </c>
      <c r="L1533" s="13">
        <v>2409</v>
      </c>
      <c r="M1533" s="13">
        <v>2339</v>
      </c>
      <c r="N1533" s="13">
        <v>22</v>
      </c>
      <c r="O1533" s="15"/>
      <c r="P1533" s="6">
        <v>41276.882627314815</v>
      </c>
      <c r="Q1533" s="12"/>
      <c r="R1533" s="17" t="s">
        <v>1857</v>
      </c>
      <c r="S1533" s="12"/>
      <c r="T1533" s="12"/>
      <c r="U1533" s="10" t="str">
        <f>HYPERLINK("https://pbs.twimg.com/profile_images/1060287423475867649/Ko1nWlY_.jpg","View")</f>
        <v>View</v>
      </c>
    </row>
    <row r="1534" spans="1:21" ht="61.2">
      <c r="A1534" s="6">
        <v>43425.401724537034</v>
      </c>
      <c r="B1534" s="7" t="str">
        <f>HYPERLINK("https://twitter.com/Superlpez5","@Superlpez5")</f>
        <v>@Superlpez5</v>
      </c>
      <c r="C1534" s="8" t="s">
        <v>3770</v>
      </c>
      <c r="D1534" s="9" t="s">
        <v>3771</v>
      </c>
      <c r="E1534" s="10" t="str">
        <f>HYPERLINK("https://twitter.com/Superlpez5/status/1065162523048124416","1065162523048124416")</f>
        <v>1065162523048124416</v>
      </c>
      <c r="F1534" s="16" t="s">
        <v>3675</v>
      </c>
      <c r="G1534" s="12"/>
      <c r="H1534" s="12"/>
      <c r="I1534" s="13">
        <v>0</v>
      </c>
      <c r="J1534" s="13">
        <v>0</v>
      </c>
      <c r="K1534" s="14" t="str">
        <f>HYPERLINK("https://mobile.twitter.com","Twitter Lite")</f>
        <v>Twitter Lite</v>
      </c>
      <c r="L1534" s="13">
        <v>40</v>
      </c>
      <c r="M1534" s="13">
        <v>108</v>
      </c>
      <c r="N1534" s="13">
        <v>0</v>
      </c>
      <c r="O1534" s="15"/>
      <c r="P1534" s="6">
        <v>43258.975381944445</v>
      </c>
      <c r="Q1534" s="16" t="s">
        <v>3774</v>
      </c>
      <c r="R1534" s="19"/>
      <c r="S1534" s="12"/>
      <c r="T1534" s="12"/>
      <c r="U1534" s="10" t="str">
        <f>HYPERLINK("https://pbs.twimg.com/profile_images/1005042248353009665/lMuET8qg.jpg","View")</f>
        <v>View</v>
      </c>
    </row>
    <row r="1535" spans="1:21" ht="30.6">
      <c r="A1535" s="6">
        <v>43425.400729166664</v>
      </c>
      <c r="B1535" s="7" t="str">
        <f>HYPERLINK("https://twitter.com/nataliabravog","@nataliabravog")</f>
        <v>@nataliabravog</v>
      </c>
      <c r="C1535" s="8" t="s">
        <v>6718</v>
      </c>
      <c r="D1535" s="9" t="s">
        <v>6719</v>
      </c>
      <c r="E1535" s="10" t="str">
        <f>HYPERLINK("https://twitter.com/nataliabravog/status/1065162161503256576","1065162161503256576")</f>
        <v>1065162161503256576</v>
      </c>
      <c r="F1535" s="12"/>
      <c r="G1535" s="12"/>
      <c r="H1535" s="12"/>
      <c r="I1535" s="13">
        <v>4</v>
      </c>
      <c r="J1535" s="13">
        <v>10</v>
      </c>
      <c r="K1535" s="14" t="str">
        <f>HYPERLINK("http://twitter.com/download/iphone","Twitter for iPhone")</f>
        <v>Twitter for iPhone</v>
      </c>
      <c r="L1535" s="13">
        <v>4276</v>
      </c>
      <c r="M1535" s="13">
        <v>828</v>
      </c>
      <c r="N1535" s="13">
        <v>131</v>
      </c>
      <c r="O1535" s="15"/>
      <c r="P1535" s="6">
        <v>40646.709826388891</v>
      </c>
      <c r="Q1535" s="16" t="s">
        <v>6720</v>
      </c>
      <c r="R1535" s="17" t="s">
        <v>6721</v>
      </c>
      <c r="S1535" s="12"/>
      <c r="T1535" s="12"/>
      <c r="U1535" s="10" t="str">
        <f>HYPERLINK("https://pbs.twimg.com/profile_images/1052853885868625920/TQOIrKib.jpg","View")</f>
        <v>View</v>
      </c>
    </row>
    <row r="1536" spans="1:21" ht="20.399999999999999">
      <c r="A1536" s="6">
        <v>43425.399675925924</v>
      </c>
      <c r="B1536" s="7" t="str">
        <f>HYPERLINK("https://twitter.com/Tabarnia4you","@Tabarnia4you")</f>
        <v>@Tabarnia4you</v>
      </c>
      <c r="C1536" s="8" t="s">
        <v>6722</v>
      </c>
      <c r="D1536" s="9" t="s">
        <v>6723</v>
      </c>
      <c r="E1536" s="10" t="str">
        <f>HYPERLINK("https://twitter.com/Tabarnia4you/status/1065161777619628033","1065161777619628033")</f>
        <v>1065161777619628033</v>
      </c>
      <c r="F1536" s="11" t="s">
        <v>3688</v>
      </c>
      <c r="G1536" s="12"/>
      <c r="H1536" s="12"/>
      <c r="I1536" s="13">
        <v>0</v>
      </c>
      <c r="J1536" s="13">
        <v>0</v>
      </c>
      <c r="K1536" s="14" t="str">
        <f>HYPERLINK("http://twitter.com","Twitter Web Client")</f>
        <v>Twitter Web Client</v>
      </c>
      <c r="L1536" s="13">
        <v>59</v>
      </c>
      <c r="M1536" s="13">
        <v>97</v>
      </c>
      <c r="N1536" s="13">
        <v>0</v>
      </c>
      <c r="O1536" s="15"/>
      <c r="P1536" s="6">
        <v>43137.360497685186</v>
      </c>
      <c r="Q1536" s="16" t="s">
        <v>6724</v>
      </c>
      <c r="R1536" s="17" t="s">
        <v>6725</v>
      </c>
      <c r="S1536" s="12"/>
      <c r="T1536" s="12"/>
      <c r="U1536" s="10" t="str">
        <f>HYPERLINK("https://pbs.twimg.com/profile_images/1034075364803444736/O_nNk5Om.jpg","View")</f>
        <v>View</v>
      </c>
    </row>
    <row r="1537" spans="1:21" ht="30.6">
      <c r="A1537" s="6">
        <v>43425.399456018524</v>
      </c>
      <c r="B1537" s="7" t="str">
        <f>HYPERLINK("https://twitter.com/callate_nene","@callate_nene")</f>
        <v>@callate_nene</v>
      </c>
      <c r="C1537" s="8" t="s">
        <v>3775</v>
      </c>
      <c r="D1537" s="9" t="s">
        <v>3776</v>
      </c>
      <c r="E1537" s="10" t="str">
        <f>HYPERLINK("https://twitter.com/callate_nene/status/1065161698141704192","1065161698141704192")</f>
        <v>1065161698141704192</v>
      </c>
      <c r="F1537" s="12"/>
      <c r="G1537" s="12"/>
      <c r="H1537" s="12"/>
      <c r="I1537" s="13">
        <v>0</v>
      </c>
      <c r="J1537" s="13">
        <v>0</v>
      </c>
      <c r="K1537" s="14" t="str">
        <f>HYPERLINK("http://twitter.com/download/iphone","Twitter for iPhone")</f>
        <v>Twitter for iPhone</v>
      </c>
      <c r="L1537" s="13">
        <v>2</v>
      </c>
      <c r="M1537" s="13">
        <v>35</v>
      </c>
      <c r="N1537" s="13">
        <v>0</v>
      </c>
      <c r="O1537" s="15"/>
      <c r="P1537" s="6">
        <v>43359.782037037032</v>
      </c>
      <c r="Q1537" s="12"/>
      <c r="R1537" s="17" t="s">
        <v>3777</v>
      </c>
      <c r="S1537" s="12"/>
      <c r="T1537" s="12"/>
      <c r="U1537" s="10" t="str">
        <f>HYPERLINK("https://pbs.twimg.com/profile_images/1053020499842912257/i1Vxcu-z.jpg","View")</f>
        <v>View</v>
      </c>
    </row>
    <row r="1538" spans="1:21" ht="40.799999999999997">
      <c r="A1538" s="6">
        <v>43425.399085648147</v>
      </c>
      <c r="B1538" s="7" t="str">
        <f>HYPERLINK("https://twitter.com/adri_pav","@adri_pav")</f>
        <v>@adri_pav</v>
      </c>
      <c r="C1538" s="8" t="s">
        <v>6726</v>
      </c>
      <c r="D1538" s="9" t="s">
        <v>6727</v>
      </c>
      <c r="E1538" s="10" t="str">
        <f>HYPERLINK("https://twitter.com/adri_pav/status/1065161565027086336","1065161565027086336")</f>
        <v>1065161565027086336</v>
      </c>
      <c r="F1538" s="11" t="s">
        <v>2779</v>
      </c>
      <c r="G1538" s="11" t="s">
        <v>2780</v>
      </c>
      <c r="H1538" s="12"/>
      <c r="I1538" s="13">
        <v>0</v>
      </c>
      <c r="J1538" s="13">
        <v>1</v>
      </c>
      <c r="K1538" s="14" t="str">
        <f>HYPERLINK("http://twitter.com","Twitter Web Client")</f>
        <v>Twitter Web Client</v>
      </c>
      <c r="L1538" s="13">
        <v>251</v>
      </c>
      <c r="M1538" s="13">
        <v>719</v>
      </c>
      <c r="N1538" s="13">
        <v>1</v>
      </c>
      <c r="O1538" s="15"/>
      <c r="P1538" s="6">
        <v>40827.710416666669</v>
      </c>
      <c r="Q1538" s="16" t="s">
        <v>6728</v>
      </c>
      <c r="R1538" s="17" t="s">
        <v>6729</v>
      </c>
      <c r="S1538" s="12"/>
      <c r="T1538" s="12"/>
      <c r="U1538" s="10" t="str">
        <f>HYPERLINK("https://pbs.twimg.com/profile_images/1021796914902323200/twuKRsTW.jpg","View")</f>
        <v>View</v>
      </c>
    </row>
    <row r="1539" spans="1:21" ht="51">
      <c r="A1539" s="6">
        <v>43425.39842592593</v>
      </c>
      <c r="B1539" s="7" t="str">
        <f>HYPERLINK("https://twitter.com/SerbanPic","@SerbanPic")</f>
        <v>@SerbanPic</v>
      </c>
      <c r="C1539" s="8" t="s">
        <v>3778</v>
      </c>
      <c r="D1539" s="9" t="s">
        <v>3779</v>
      </c>
      <c r="E1539" s="10" t="str">
        <f>HYPERLINK("https://twitter.com/SerbanPic/status/1065161324383092736","1065161324383092736")</f>
        <v>1065161324383092736</v>
      </c>
      <c r="F1539" s="11" t="s">
        <v>3780</v>
      </c>
      <c r="G1539" s="12"/>
      <c r="H1539" s="12"/>
      <c r="I1539" s="13">
        <v>0</v>
      </c>
      <c r="J1539" s="13">
        <v>0</v>
      </c>
      <c r="K1539" s="14" t="str">
        <f>HYPERLINK("http://twitter.com/download/android","Twitter for Android")</f>
        <v>Twitter for Android</v>
      </c>
      <c r="L1539" s="13">
        <v>204</v>
      </c>
      <c r="M1539" s="13">
        <v>283</v>
      </c>
      <c r="N1539" s="13">
        <v>16</v>
      </c>
      <c r="O1539" s="15"/>
      <c r="P1539" s="6">
        <v>40686.792893518519</v>
      </c>
      <c r="Q1539" s="16" t="s">
        <v>37</v>
      </c>
      <c r="R1539" s="17" t="s">
        <v>3783</v>
      </c>
      <c r="S1539" s="11" t="s">
        <v>3784</v>
      </c>
      <c r="T1539" s="12"/>
      <c r="U1539" s="10" t="str">
        <f>HYPERLINK("https://pbs.twimg.com/profile_images/1059221045553565696/YGxdLs_9.jpg","View")</f>
        <v>View</v>
      </c>
    </row>
    <row r="1540" spans="1:21" ht="30.6">
      <c r="A1540" s="6">
        <v>43425.396944444445</v>
      </c>
      <c r="B1540" s="7" t="str">
        <f>HYPERLINK("https://twitter.com/SER_Comunica","@SER_Comunica")</f>
        <v>@SER_Comunica</v>
      </c>
      <c r="C1540" s="8" t="s">
        <v>3787</v>
      </c>
      <c r="D1540" s="9" t="s">
        <v>3788</v>
      </c>
      <c r="E1540" s="10" t="str">
        <f>HYPERLINK("https://twitter.com/SER_Comunica/status/1065160789005357058","1065160789005357058")</f>
        <v>1065160789005357058</v>
      </c>
      <c r="F1540" s="11" t="s">
        <v>3297</v>
      </c>
      <c r="G1540" s="12"/>
      <c r="H1540" s="12"/>
      <c r="I1540" s="13">
        <v>0</v>
      </c>
      <c r="J1540" s="13">
        <v>0</v>
      </c>
      <c r="K1540" s="14" t="str">
        <f>HYPERLINK("http://twitter.com","Twitter Web Client")</f>
        <v>Twitter Web Client</v>
      </c>
      <c r="L1540" s="13">
        <v>1699</v>
      </c>
      <c r="M1540" s="13">
        <v>324</v>
      </c>
      <c r="N1540" s="13">
        <v>34</v>
      </c>
      <c r="O1540" s="15"/>
      <c r="P1540" s="6">
        <v>41648.583101851851</v>
      </c>
      <c r="Q1540" s="16" t="s">
        <v>37</v>
      </c>
      <c r="R1540" s="17" t="s">
        <v>3791</v>
      </c>
      <c r="S1540" s="12"/>
      <c r="T1540" s="12"/>
      <c r="U1540" s="10" t="str">
        <f>HYPERLINK("https://pbs.twimg.com/profile_images/1048147172951293954/1Ga4FC_w.jpg","View")</f>
        <v>View</v>
      </c>
    </row>
    <row r="1541" spans="1:21" ht="61.2">
      <c r="A1541" s="6">
        <v>43425.394525462965</v>
      </c>
      <c r="B1541" s="7" t="str">
        <f>HYPERLINK("https://twitter.com/Jfdezgo90","@Jfdezgo90")</f>
        <v>@Jfdezgo90</v>
      </c>
      <c r="C1541" s="8" t="s">
        <v>2732</v>
      </c>
      <c r="D1541" s="9" t="s">
        <v>3793</v>
      </c>
      <c r="E1541" s="10" t="str">
        <f>HYPERLINK("https://twitter.com/Jfdezgo90/status/1065159914547568640","1065159914547568640")</f>
        <v>1065159914547568640</v>
      </c>
      <c r="F1541" s="16" t="s">
        <v>733</v>
      </c>
      <c r="G1541" s="11" t="s">
        <v>65</v>
      </c>
      <c r="H1541" s="12"/>
      <c r="I1541" s="13">
        <v>0</v>
      </c>
      <c r="J1541" s="13">
        <v>0</v>
      </c>
      <c r="K1541" s="14" t="str">
        <f>HYPERLINK("http://twitter.com/download/iphone","Twitter for iPhone")</f>
        <v>Twitter for iPhone</v>
      </c>
      <c r="L1541" s="13">
        <v>1899</v>
      </c>
      <c r="M1541" s="13">
        <v>4115</v>
      </c>
      <c r="N1541" s="13">
        <v>13</v>
      </c>
      <c r="O1541" s="15"/>
      <c r="P1541" s="6">
        <v>41800.661921296298</v>
      </c>
      <c r="Q1541" s="16" t="s">
        <v>2736</v>
      </c>
      <c r="R1541" s="17" t="s">
        <v>2737</v>
      </c>
      <c r="S1541" s="11" t="s">
        <v>2738</v>
      </c>
      <c r="T1541" s="12"/>
      <c r="U1541" s="10" t="str">
        <f>HYPERLINK("https://pbs.twimg.com/profile_images/1013847005817442306/8BV0q5Ut.jpg","View")</f>
        <v>View</v>
      </c>
    </row>
    <row r="1542" spans="1:21" ht="51">
      <c r="A1542" s="6">
        <v>43425.389513888891</v>
      </c>
      <c r="B1542" s="7" t="str">
        <f>HYPERLINK("https://twitter.com/PabloTortajada","@PabloTortajada")</f>
        <v>@PabloTortajada</v>
      </c>
      <c r="C1542" s="8" t="s">
        <v>6730</v>
      </c>
      <c r="D1542" s="9" t="s">
        <v>6731</v>
      </c>
      <c r="E1542" s="10" t="str">
        <f>HYPERLINK("https://twitter.com/PabloTortajada/status/1065158094391513089","1065158094391513089")</f>
        <v>1065158094391513089</v>
      </c>
      <c r="F1542" s="12"/>
      <c r="G1542" s="12"/>
      <c r="H1542" s="12"/>
      <c r="I1542" s="13">
        <v>19</v>
      </c>
      <c r="J1542" s="13">
        <v>25</v>
      </c>
      <c r="K1542" s="14" t="str">
        <f t="shared" ref="K1542:K1543" si="315">HYPERLINK("http://twitter.com/download/android","Twitter for Android")</f>
        <v>Twitter for Android</v>
      </c>
      <c r="L1542" s="13">
        <v>1367</v>
      </c>
      <c r="M1542" s="13">
        <v>736</v>
      </c>
      <c r="N1542" s="13">
        <v>25</v>
      </c>
      <c r="O1542" s="15"/>
      <c r="P1542" s="6">
        <v>40616.71806712963</v>
      </c>
      <c r="Q1542" s="16" t="s">
        <v>6732</v>
      </c>
      <c r="R1542" s="17" t="s">
        <v>6733</v>
      </c>
      <c r="S1542" s="11" t="s">
        <v>6734</v>
      </c>
      <c r="T1542" s="12"/>
      <c r="U1542" s="10" t="str">
        <f>HYPERLINK("https://pbs.twimg.com/profile_images/1011355952338079744/NRqB-4AP.jpg","View")</f>
        <v>View</v>
      </c>
    </row>
    <row r="1543" spans="1:21" ht="20.399999999999999">
      <c r="A1543" s="6">
        <v>43425.387465277774</v>
      </c>
      <c r="B1543" s="7" t="str">
        <f>HYPERLINK("https://twitter.com/BeatrizArCoro","@BeatrizArCoro")</f>
        <v>@BeatrizArCoro</v>
      </c>
      <c r="C1543" s="8" t="s">
        <v>3794</v>
      </c>
      <c r="D1543" s="9" t="s">
        <v>3795</v>
      </c>
      <c r="E1543" s="10" t="str">
        <f>HYPERLINK("https://twitter.com/BeatrizArCoro/status/1065157355170668545","1065157355170668545")</f>
        <v>1065157355170668545</v>
      </c>
      <c r="F1543" s="12"/>
      <c r="G1543" s="12"/>
      <c r="H1543" s="12"/>
      <c r="I1543" s="13">
        <v>0</v>
      </c>
      <c r="J1543" s="13">
        <v>0</v>
      </c>
      <c r="K1543" s="14" t="str">
        <f t="shared" si="315"/>
        <v>Twitter for Android</v>
      </c>
      <c r="L1543" s="13">
        <v>61</v>
      </c>
      <c r="M1543" s="13">
        <v>496</v>
      </c>
      <c r="N1543" s="13">
        <v>1</v>
      </c>
      <c r="O1543" s="15"/>
      <c r="P1543" s="6">
        <v>41287.694351851853</v>
      </c>
      <c r="Q1543" s="12"/>
      <c r="R1543" s="17" t="s">
        <v>3796</v>
      </c>
      <c r="S1543" s="12"/>
      <c r="T1543" s="12"/>
      <c r="U1543" s="10" t="str">
        <f>HYPERLINK("https://pbs.twimg.com/profile_images/1031887141096312833/UgmvvLEq.jpg","View")</f>
        <v>View</v>
      </c>
    </row>
    <row r="1544" spans="1:21" ht="30.6">
      <c r="A1544" s="6">
        <v>43425.385798611111</v>
      </c>
      <c r="B1544" s="7" t="str">
        <f>HYPERLINK("https://twitter.com/pelegre4","@pelegre4")</f>
        <v>@pelegre4</v>
      </c>
      <c r="C1544" s="8" t="s">
        <v>6735</v>
      </c>
      <c r="D1544" s="9" t="s">
        <v>6736</v>
      </c>
      <c r="E1544" s="10" t="str">
        <f>HYPERLINK("https://twitter.com/pelegre4/status/1065156750364557313","1065156750364557313")</f>
        <v>1065156750364557313</v>
      </c>
      <c r="F1544" s="12"/>
      <c r="G1544" s="12"/>
      <c r="H1544" s="12"/>
      <c r="I1544" s="13">
        <v>1</v>
      </c>
      <c r="J1544" s="13">
        <v>1</v>
      </c>
      <c r="K1544" s="14" t="str">
        <f>HYPERLINK("http://twitter.com","Twitter Web Client")</f>
        <v>Twitter Web Client</v>
      </c>
      <c r="L1544" s="13">
        <v>418</v>
      </c>
      <c r="M1544" s="13">
        <v>390</v>
      </c>
      <c r="N1544" s="13">
        <v>0</v>
      </c>
      <c r="O1544" s="15"/>
      <c r="P1544" s="6">
        <v>43139.442453703705</v>
      </c>
      <c r="Q1544" s="12"/>
      <c r="R1544" s="17" t="s">
        <v>6737</v>
      </c>
      <c r="S1544" s="12"/>
      <c r="T1544" s="12"/>
      <c r="U1544" s="10" t="str">
        <f>HYPERLINK("https://pbs.twimg.com/profile_images/1018044966130667520/2q0ZYLHh.jpg","View")</f>
        <v>View</v>
      </c>
    </row>
    <row r="1545" spans="1:21" ht="20.399999999999999">
      <c r="A1545" s="6">
        <v>43425.385439814811</v>
      </c>
      <c r="B1545" s="7" t="str">
        <f>HYPERLINK("https://twitter.com/Guerraeterna","@Guerraeterna")</f>
        <v>@Guerraeterna</v>
      </c>
      <c r="C1545" s="8" t="s">
        <v>6738</v>
      </c>
      <c r="D1545" s="9" t="s">
        <v>6739</v>
      </c>
      <c r="E1545" s="10" t="str">
        <f>HYPERLINK("https://twitter.com/Guerraeterna/status/1065156618130792448","1065156618130792448")</f>
        <v>1065156618130792448</v>
      </c>
      <c r="F1545" s="12"/>
      <c r="G1545" s="12"/>
      <c r="H1545" s="12"/>
      <c r="I1545" s="13">
        <v>16</v>
      </c>
      <c r="J1545" s="13">
        <v>29</v>
      </c>
      <c r="K1545" s="14" t="str">
        <f>HYPERLINK("http://twitter.com/download/iphone","Twitter for iPhone")</f>
        <v>Twitter for iPhone</v>
      </c>
      <c r="L1545" s="13">
        <v>52224</v>
      </c>
      <c r="M1545" s="13">
        <v>284</v>
      </c>
      <c r="N1545" s="13">
        <v>2101</v>
      </c>
      <c r="O1545" s="15"/>
      <c r="P1545" s="6">
        <v>39551.057928240742</v>
      </c>
      <c r="Q1545" s="16" t="s">
        <v>496</v>
      </c>
      <c r="R1545" s="17" t="s">
        <v>6740</v>
      </c>
      <c r="S1545" s="11" t="s">
        <v>6741</v>
      </c>
      <c r="T1545" s="12"/>
      <c r="U1545" s="10" t="str">
        <f>HYPERLINK("https://pbs.twimg.com/profile_images/2489605934/l16rhkss0kkwhvecjuv4.jpeg","View")</f>
        <v>View</v>
      </c>
    </row>
    <row r="1546" spans="1:21" ht="40.799999999999997">
      <c r="A1546" s="6">
        <v>43425.385243055556</v>
      </c>
      <c r="B1546" s="7" t="str">
        <f>HYPERLINK("https://twitter.com/plazaro67","@plazaro67")</f>
        <v>@plazaro67</v>
      </c>
      <c r="C1546" s="8" t="s">
        <v>6742</v>
      </c>
      <c r="D1546" s="9" t="s">
        <v>6743</v>
      </c>
      <c r="E1546" s="10" t="str">
        <f>HYPERLINK("https://twitter.com/plazaro67/status/1065156549558104064","1065156549558104064")</f>
        <v>1065156549558104064</v>
      </c>
      <c r="F1546" s="12"/>
      <c r="G1546" s="12"/>
      <c r="H1546" s="12"/>
      <c r="I1546" s="13">
        <v>1</v>
      </c>
      <c r="J1546" s="13">
        <v>1</v>
      </c>
      <c r="K1546" s="14" t="str">
        <f>HYPERLINK("http://twitter.com/#!/download/ipad","Twitter for iPad")</f>
        <v>Twitter for iPad</v>
      </c>
      <c r="L1546" s="13">
        <v>2317</v>
      </c>
      <c r="M1546" s="13">
        <v>825</v>
      </c>
      <c r="N1546" s="13">
        <v>77</v>
      </c>
      <c r="O1546" s="15"/>
      <c r="P1546" s="6">
        <v>40620.719513888893</v>
      </c>
      <c r="Q1546" s="12"/>
      <c r="R1546" s="17" t="s">
        <v>6744</v>
      </c>
      <c r="S1546" s="11" t="s">
        <v>6745</v>
      </c>
      <c r="T1546" s="12"/>
      <c r="U1546" s="10" t="str">
        <f>HYPERLINK("https://pbs.twimg.com/profile_images/1060948572844244992/lVyOCBOG.jpg","View")</f>
        <v>View</v>
      </c>
    </row>
    <row r="1547" spans="1:21" ht="51">
      <c r="A1547" s="6">
        <v>43425.383414351847</v>
      </c>
      <c r="B1547" s="7" t="str">
        <f>HYPERLINK("https://twitter.com/Jcanyizares","@Jcanyizares")</f>
        <v>@Jcanyizares</v>
      </c>
      <c r="C1547" s="8" t="s">
        <v>3672</v>
      </c>
      <c r="D1547" s="9" t="s">
        <v>3797</v>
      </c>
      <c r="E1547" s="10" t="str">
        <f>HYPERLINK("https://twitter.com/Jcanyizares/status/1065155887826898944","1065155887826898944")</f>
        <v>1065155887826898944</v>
      </c>
      <c r="F1547" s="11" t="s">
        <v>3798</v>
      </c>
      <c r="G1547" s="12"/>
      <c r="H1547" s="12"/>
      <c r="I1547" s="13">
        <v>1</v>
      </c>
      <c r="J1547" s="13">
        <v>2</v>
      </c>
      <c r="K1547" s="14" t="str">
        <f t="shared" ref="K1547:K1556" si="316">HYPERLINK("http://twitter.com/download/android","Twitter for Android")</f>
        <v>Twitter for Android</v>
      </c>
      <c r="L1547" s="13">
        <v>276</v>
      </c>
      <c r="M1547" s="13">
        <v>783</v>
      </c>
      <c r="N1547" s="13">
        <v>2</v>
      </c>
      <c r="O1547" s="15"/>
      <c r="P1547" s="6">
        <v>40208.612685185188</v>
      </c>
      <c r="Q1547" s="16" t="s">
        <v>310</v>
      </c>
      <c r="R1547" s="17" t="s">
        <v>3677</v>
      </c>
      <c r="S1547" s="11" t="s">
        <v>3679</v>
      </c>
      <c r="T1547" s="12"/>
      <c r="U1547" s="10" t="str">
        <f>HYPERLINK("https://pbs.twimg.com/profile_images/908325149333770240/WKhY1UiI.jpg","View")</f>
        <v>View</v>
      </c>
    </row>
    <row r="1548" spans="1:21" ht="40.799999999999997">
      <c r="A1548" s="6">
        <v>43425.383020833338</v>
      </c>
      <c r="B1548" s="7" t="str">
        <f>HYPERLINK("https://twitter.com/acordellat","@acordellat")</f>
        <v>@acordellat</v>
      </c>
      <c r="C1548" s="8" t="s">
        <v>6746</v>
      </c>
      <c r="D1548" s="9" t="s">
        <v>6747</v>
      </c>
      <c r="E1548" s="10" t="str">
        <f>HYPERLINK("https://twitter.com/acordellat/status/1065155742687248384","1065155742687248384")</f>
        <v>1065155742687248384</v>
      </c>
      <c r="F1548" s="12"/>
      <c r="G1548" s="12"/>
      <c r="H1548" s="12"/>
      <c r="I1548" s="13">
        <v>1</v>
      </c>
      <c r="J1548" s="13">
        <v>1</v>
      </c>
      <c r="K1548" s="14" t="str">
        <f t="shared" si="316"/>
        <v>Twitter for Android</v>
      </c>
      <c r="L1548" s="13">
        <v>3240</v>
      </c>
      <c r="M1548" s="13">
        <v>761</v>
      </c>
      <c r="N1548" s="13">
        <v>146</v>
      </c>
      <c r="O1548" s="15"/>
      <c r="P1548" s="6">
        <v>40268.797997685186</v>
      </c>
      <c r="Q1548" s="16" t="s">
        <v>6748</v>
      </c>
      <c r="R1548" s="17" t="s">
        <v>6749</v>
      </c>
      <c r="S1548" s="11" t="s">
        <v>6750</v>
      </c>
      <c r="T1548" s="12"/>
      <c r="U1548" s="10" t="str">
        <f>HYPERLINK("https://pbs.twimg.com/profile_images/685088411938631680/B8x7Jvky.jpg","View")</f>
        <v>View</v>
      </c>
    </row>
    <row r="1549" spans="1:21" ht="40.799999999999997">
      <c r="A1549" s="6">
        <v>43425.38282407407</v>
      </c>
      <c r="B1549" s="7" t="str">
        <f>HYPERLINK("https://twitter.com/58Domingo","@58Domingo")</f>
        <v>@58Domingo</v>
      </c>
      <c r="C1549" s="8" t="s">
        <v>3799</v>
      </c>
      <c r="D1549" s="9" t="s">
        <v>3800</v>
      </c>
      <c r="E1549" s="10" t="str">
        <f>HYPERLINK("https://twitter.com/58Domingo/status/1065155673464471552","1065155673464471552")</f>
        <v>1065155673464471552</v>
      </c>
      <c r="F1549" s="12"/>
      <c r="G1549" s="12"/>
      <c r="H1549" s="12"/>
      <c r="I1549" s="13">
        <v>0</v>
      </c>
      <c r="J1549" s="13">
        <v>0</v>
      </c>
      <c r="K1549" s="14" t="str">
        <f t="shared" si="316"/>
        <v>Twitter for Android</v>
      </c>
      <c r="L1549" s="13">
        <v>258</v>
      </c>
      <c r="M1549" s="13">
        <v>151</v>
      </c>
      <c r="N1549" s="13">
        <v>10</v>
      </c>
      <c r="O1549" s="15"/>
      <c r="P1549" s="6">
        <v>40894.417187500003</v>
      </c>
      <c r="Q1549" s="16" t="s">
        <v>3801</v>
      </c>
      <c r="R1549" s="17" t="s">
        <v>3802</v>
      </c>
      <c r="S1549" s="12"/>
      <c r="T1549" s="12"/>
      <c r="U1549" s="10" t="str">
        <f>HYPERLINK("https://pbs.twimg.com/profile_images/609779750748442624/0TGFVnRF.jpg","View")</f>
        <v>View</v>
      </c>
    </row>
    <row r="1550" spans="1:21" ht="51">
      <c r="A1550" s="6">
        <v>43425.38145833333</v>
      </c>
      <c r="B1550" s="7" t="str">
        <f>HYPERLINK("https://twitter.com/FranjhZ","@FranjhZ")</f>
        <v>@FranjhZ</v>
      </c>
      <c r="C1550" s="8" t="s">
        <v>3803</v>
      </c>
      <c r="D1550" s="9" t="s">
        <v>3804</v>
      </c>
      <c r="E1550" s="10" t="str">
        <f>HYPERLINK("https://twitter.com/FranjhZ/status/1065155176326201344","1065155176326201344")</f>
        <v>1065155176326201344</v>
      </c>
      <c r="F1550" s="12"/>
      <c r="G1550" s="12"/>
      <c r="H1550" s="12"/>
      <c r="I1550" s="13">
        <v>0</v>
      </c>
      <c r="J1550" s="13">
        <v>0</v>
      </c>
      <c r="K1550" s="14" t="str">
        <f t="shared" si="316"/>
        <v>Twitter for Android</v>
      </c>
      <c r="L1550" s="13">
        <v>601</v>
      </c>
      <c r="M1550" s="13">
        <v>106</v>
      </c>
      <c r="N1550" s="13">
        <v>15</v>
      </c>
      <c r="O1550" s="15"/>
      <c r="P1550" s="6">
        <v>40220.730543981481</v>
      </c>
      <c r="Q1550" s="16" t="s">
        <v>3807</v>
      </c>
      <c r="R1550" s="17" t="s">
        <v>3808</v>
      </c>
      <c r="S1550" s="11" t="s">
        <v>3809</v>
      </c>
      <c r="T1550" s="12"/>
      <c r="U1550" s="10" t="str">
        <f>HYPERLINK("https://pbs.twimg.com/profile_images/1057877598901075968/pKwrgswf.jpg","View")</f>
        <v>View</v>
      </c>
    </row>
    <row r="1551" spans="1:21" ht="40.799999999999997">
      <c r="A1551" s="6">
        <v>43425.380844907406</v>
      </c>
      <c r="B1551" s="7" t="str">
        <f>HYPERLINK("https://twitter.com/Vozdunciudadano","@Vozdunciudadano")</f>
        <v>@Vozdunciudadano</v>
      </c>
      <c r="C1551" s="8" t="s">
        <v>6751</v>
      </c>
      <c r="D1551" s="9" t="s">
        <v>6752</v>
      </c>
      <c r="E1551" s="10" t="str">
        <f>HYPERLINK("https://twitter.com/Vozdunciudadano/status/1065154955735166976","1065154955735166976")</f>
        <v>1065154955735166976</v>
      </c>
      <c r="F1551" s="12"/>
      <c r="G1551" s="11" t="s">
        <v>6753</v>
      </c>
      <c r="H1551" s="12"/>
      <c r="I1551" s="13">
        <v>1</v>
      </c>
      <c r="J1551" s="13">
        <v>1</v>
      </c>
      <c r="K1551" s="14" t="str">
        <f t="shared" si="316"/>
        <v>Twitter for Android</v>
      </c>
      <c r="L1551" s="13">
        <v>3934</v>
      </c>
      <c r="M1551" s="13">
        <v>1794</v>
      </c>
      <c r="N1551" s="13">
        <v>100</v>
      </c>
      <c r="O1551" s="15"/>
      <c r="P1551" s="6">
        <v>41315.003449074073</v>
      </c>
      <c r="Q1551" s="12"/>
      <c r="R1551" s="19"/>
      <c r="S1551" s="12"/>
      <c r="T1551" s="12"/>
      <c r="U1551" s="10" t="str">
        <f>HYPERLINK("https://pbs.twimg.com/profile_images/468699011373748224/5dWowfDv.jpeg","View")</f>
        <v>View</v>
      </c>
    </row>
    <row r="1552" spans="1:21" ht="40.799999999999997">
      <c r="A1552" s="6">
        <v>43425.38082175926</v>
      </c>
      <c r="B1552" s="7" t="str">
        <f>HYPERLINK("https://twitter.com/EsPeriodismo","@EsPeriodismo")</f>
        <v>@EsPeriodismo</v>
      </c>
      <c r="C1552" s="8" t="s">
        <v>6754</v>
      </c>
      <c r="D1552" s="9" t="s">
        <v>6755</v>
      </c>
      <c r="E1552" s="10" t="str">
        <f>HYPERLINK("https://twitter.com/EsPeriodismo/status/1065154946612506624","1065154946612506624")</f>
        <v>1065154946612506624</v>
      </c>
      <c r="F1552" s="12"/>
      <c r="G1552" s="11" t="s">
        <v>6756</v>
      </c>
      <c r="H1552" s="12"/>
      <c r="I1552" s="13">
        <v>0</v>
      </c>
      <c r="J1552" s="13">
        <v>0</v>
      </c>
      <c r="K1552" s="14" t="str">
        <f t="shared" si="316"/>
        <v>Twitter for Android</v>
      </c>
      <c r="L1552" s="13">
        <v>8167</v>
      </c>
      <c r="M1552" s="13">
        <v>2509</v>
      </c>
      <c r="N1552" s="13">
        <v>257</v>
      </c>
      <c r="O1552" s="15"/>
      <c r="P1552" s="6">
        <v>40619.000520833331</v>
      </c>
      <c r="Q1552" s="16" t="s">
        <v>421</v>
      </c>
      <c r="R1552" s="17" t="s">
        <v>6757</v>
      </c>
      <c r="S1552" s="11" t="s">
        <v>6758</v>
      </c>
      <c r="T1552" s="12"/>
      <c r="U1552" s="10" t="str">
        <f>HYPERLINK("https://pbs.twimg.com/profile_images/846011107546468356/D0yX9QH7.jpg","View")</f>
        <v>View</v>
      </c>
    </row>
    <row r="1553" spans="1:21" ht="40.799999999999997">
      <c r="A1553" s="6">
        <v>43425.380601851852</v>
      </c>
      <c r="B1553" s="7" t="str">
        <f>HYPERLINK("https://twitter.com/Asturiashlh","@Asturiashlh")</f>
        <v>@Asturiashlh</v>
      </c>
      <c r="C1553" s="8" t="s">
        <v>3811</v>
      </c>
      <c r="D1553" s="9" t="s">
        <v>3812</v>
      </c>
      <c r="E1553" s="10" t="str">
        <f>HYPERLINK("https://twitter.com/Asturiashlh/status/1065154864790028288","1065154864790028288")</f>
        <v>1065154864790028288</v>
      </c>
      <c r="F1553" s="12"/>
      <c r="G1553" s="12"/>
      <c r="H1553" s="12"/>
      <c r="I1553" s="13">
        <v>0</v>
      </c>
      <c r="J1553" s="13">
        <v>2</v>
      </c>
      <c r="K1553" s="14" t="str">
        <f t="shared" si="316"/>
        <v>Twitter for Android</v>
      </c>
      <c r="L1553" s="13">
        <v>1222</v>
      </c>
      <c r="M1553" s="13">
        <v>3624</v>
      </c>
      <c r="N1553" s="13">
        <v>16</v>
      </c>
      <c r="O1553" s="15"/>
      <c r="P1553" s="6">
        <v>41546.553472222222</v>
      </c>
      <c r="Q1553" s="16" t="s">
        <v>3816</v>
      </c>
      <c r="R1553" s="17" t="s">
        <v>3817</v>
      </c>
      <c r="S1553" s="12"/>
      <c r="T1553" s="12"/>
      <c r="U1553" s="10" t="str">
        <f>HYPERLINK("https://pbs.twimg.com/profile_images/858450785381822464/khgIvPgs.jpg","View")</f>
        <v>View</v>
      </c>
    </row>
    <row r="1554" spans="1:21" ht="40.799999999999997">
      <c r="A1554" s="6">
        <v>43425.379502314812</v>
      </c>
      <c r="B1554" s="7" t="str">
        <f>HYPERLINK("https://twitter.com/Pulgarcitapep","@Pulgarcitapep")</f>
        <v>@Pulgarcitapep</v>
      </c>
      <c r="C1554" s="8" t="s">
        <v>3821</v>
      </c>
      <c r="D1554" s="9" t="s">
        <v>3822</v>
      </c>
      <c r="E1554" s="10" t="str">
        <f>HYPERLINK("https://twitter.com/Pulgarcitapep/status/1065154467404877824","1065154467404877824")</f>
        <v>1065154467404877824</v>
      </c>
      <c r="F1554" s="12"/>
      <c r="G1554" s="12"/>
      <c r="H1554" s="12"/>
      <c r="I1554" s="13">
        <v>0</v>
      </c>
      <c r="J1554" s="13">
        <v>0</v>
      </c>
      <c r="K1554" s="14" t="str">
        <f t="shared" si="316"/>
        <v>Twitter for Android</v>
      </c>
      <c r="L1554" s="13">
        <v>477</v>
      </c>
      <c r="M1554" s="13">
        <v>1020</v>
      </c>
      <c r="N1554" s="13">
        <v>31</v>
      </c>
      <c r="O1554" s="15"/>
      <c r="P1554" s="6">
        <v>40465.704050925924</v>
      </c>
      <c r="Q1554" s="16" t="s">
        <v>496</v>
      </c>
      <c r="R1554" s="17" t="s">
        <v>3824</v>
      </c>
      <c r="S1554" s="12"/>
      <c r="T1554" s="12"/>
      <c r="U1554" s="10" t="str">
        <f>HYPERLINK("https://pbs.twimg.com/profile_images/917802609716727808/yaHqUkOg.jpg","View")</f>
        <v>View</v>
      </c>
    </row>
    <row r="1555" spans="1:21" ht="40.799999999999997">
      <c r="A1555" s="6">
        <v>43425.379189814819</v>
      </c>
      <c r="B1555" s="7" t="str">
        <f>HYPERLINK("https://twitter.com/Francis98204014","@Francis98204014")</f>
        <v>@Francis98204014</v>
      </c>
      <c r="C1555" s="8" t="s">
        <v>6759</v>
      </c>
      <c r="D1555" s="9" t="s">
        <v>6760</v>
      </c>
      <c r="E1555" s="10" t="str">
        <f>HYPERLINK("https://twitter.com/Francis98204014/status/1065154355916169217","1065154355916169217")</f>
        <v>1065154355916169217</v>
      </c>
      <c r="F1555" s="12"/>
      <c r="G1555" s="11" t="s">
        <v>6761</v>
      </c>
      <c r="H1555" s="12"/>
      <c r="I1555" s="13">
        <v>0</v>
      </c>
      <c r="J1555" s="13">
        <v>2</v>
      </c>
      <c r="K1555" s="14" t="str">
        <f t="shared" si="316"/>
        <v>Twitter for Android</v>
      </c>
      <c r="L1555" s="13">
        <v>5425</v>
      </c>
      <c r="M1555" s="13">
        <v>5160</v>
      </c>
      <c r="N1555" s="13">
        <v>79</v>
      </c>
      <c r="O1555" s="15"/>
      <c r="P1555" s="6">
        <v>42023.979328703703</v>
      </c>
      <c r="Q1555" s="12"/>
      <c r="R1555" s="19"/>
      <c r="S1555" s="12"/>
      <c r="T1555" s="12"/>
      <c r="U1555" s="10" t="str">
        <f>HYPERLINK("https://pbs.twimg.com/profile_images/557305420625502208/DgZmRbYl.jpeg","View")</f>
        <v>View</v>
      </c>
    </row>
    <row r="1556" spans="1:21" ht="20.399999999999999">
      <c r="A1556" s="6">
        <v>43425.378946759258</v>
      </c>
      <c r="B1556" s="7" t="str">
        <f>HYPERLINK("https://twitter.com/grimordebonanza","@grimordebonanza")</f>
        <v>@grimordebonanza</v>
      </c>
      <c r="C1556" s="8" t="s">
        <v>6762</v>
      </c>
      <c r="D1556" s="9" t="s">
        <v>6763</v>
      </c>
      <c r="E1556" s="10" t="str">
        <f>HYPERLINK("https://twitter.com/grimordebonanza/status/1065154266388721664","1065154266388721664")</f>
        <v>1065154266388721664</v>
      </c>
      <c r="F1556" s="12"/>
      <c r="G1556" s="12"/>
      <c r="H1556" s="12"/>
      <c r="I1556" s="13">
        <v>0</v>
      </c>
      <c r="J1556" s="13">
        <v>1</v>
      </c>
      <c r="K1556" s="14" t="str">
        <f t="shared" si="316"/>
        <v>Twitter for Android</v>
      </c>
      <c r="L1556" s="13">
        <v>20</v>
      </c>
      <c r="M1556" s="13">
        <v>39</v>
      </c>
      <c r="N1556" s="13">
        <v>0</v>
      </c>
      <c r="O1556" s="15"/>
      <c r="P1556" s="6">
        <v>41038.82309027778</v>
      </c>
      <c r="Q1556" s="12"/>
      <c r="R1556" s="17" t="s">
        <v>6764</v>
      </c>
      <c r="S1556" s="12"/>
      <c r="T1556" s="12"/>
      <c r="U1556" s="10" t="str">
        <f>HYPERLINK("https://pbs.twimg.com/profile_images/692695891728293889/Y7zxLAeH.jpg","View")</f>
        <v>View</v>
      </c>
    </row>
    <row r="1557" spans="1:21" ht="30.6">
      <c r="A1557" s="6">
        <v>43425.378796296296</v>
      </c>
      <c r="B1557" s="7" t="str">
        <f>HYPERLINK("https://twitter.com/La_SER","@La_SER")</f>
        <v>@La_SER</v>
      </c>
      <c r="C1557" s="8" t="s">
        <v>3875</v>
      </c>
      <c r="D1557" s="9" t="s">
        <v>6765</v>
      </c>
      <c r="E1557" s="10" t="str">
        <f>HYPERLINK("https://twitter.com/La_SER/status/1065154211707404288","1065154211707404288")</f>
        <v>1065154211707404288</v>
      </c>
      <c r="F1557" s="11" t="s">
        <v>3297</v>
      </c>
      <c r="G1557" s="11" t="s">
        <v>65</v>
      </c>
      <c r="H1557" s="12"/>
      <c r="I1557" s="13">
        <v>965</v>
      </c>
      <c r="J1557" s="13">
        <v>821</v>
      </c>
      <c r="K1557" s="14" t="str">
        <f>HYPERLINK("http://snappytv.com","SnappyTV.com")</f>
        <v>SnappyTV.com</v>
      </c>
      <c r="L1557" s="13">
        <v>1152500</v>
      </c>
      <c r="M1557" s="13">
        <v>778</v>
      </c>
      <c r="N1557" s="13">
        <v>10623</v>
      </c>
      <c r="O1557" s="18" t="s">
        <v>36</v>
      </c>
      <c r="P1557" s="6">
        <v>39965.754942129628</v>
      </c>
      <c r="Q1557" s="12"/>
      <c r="R1557" s="17" t="s">
        <v>3992</v>
      </c>
      <c r="S1557" s="11" t="s">
        <v>3993</v>
      </c>
      <c r="T1557" s="12"/>
      <c r="U1557" s="10" t="str">
        <f>HYPERLINK("https://pbs.twimg.com/profile_images/1039929065774481409/zsYMDMZj.jpg","View")</f>
        <v>View</v>
      </c>
    </row>
    <row r="1558" spans="1:21" ht="51">
      <c r="A1558" s="6">
        <v>43425.378564814819</v>
      </c>
      <c r="B1558" s="7" t="str">
        <f>HYPERLINK("https://twitter.com/locodelpelorojo","@locodelpelorojo")</f>
        <v>@locodelpelorojo</v>
      </c>
      <c r="C1558" s="8" t="s">
        <v>6766</v>
      </c>
      <c r="D1558" s="9" t="s">
        <v>6767</v>
      </c>
      <c r="E1558" s="10" t="str">
        <f>HYPERLINK("https://twitter.com/locodelpelorojo/status/1065154130317123584","1065154130317123584")</f>
        <v>1065154130317123584</v>
      </c>
      <c r="F1558" s="12"/>
      <c r="G1558" s="12"/>
      <c r="H1558" s="12"/>
      <c r="I1558" s="13">
        <v>56</v>
      </c>
      <c r="J1558" s="13">
        <v>91</v>
      </c>
      <c r="K1558" s="14" t="str">
        <f>HYPERLINK("http://twitter.com/download/android","Twitter for Android")</f>
        <v>Twitter for Android</v>
      </c>
      <c r="L1558" s="13">
        <v>11877</v>
      </c>
      <c r="M1558" s="13">
        <v>1068</v>
      </c>
      <c r="N1558" s="13">
        <v>575</v>
      </c>
      <c r="O1558" s="15"/>
      <c r="P1558" s="6">
        <v>39818.410254629627</v>
      </c>
      <c r="Q1558" s="16" t="s">
        <v>496</v>
      </c>
      <c r="R1558" s="17" t="s">
        <v>6768</v>
      </c>
      <c r="S1558" s="11" t="s">
        <v>6769</v>
      </c>
      <c r="T1558" s="12"/>
      <c r="U1558" s="10" t="str">
        <f>HYPERLINK("https://pbs.twimg.com/profile_images/722001502630514688/xYe2GDak.jpg","View")</f>
        <v>View</v>
      </c>
    </row>
    <row r="1559" spans="1:21" ht="30.6">
      <c r="A1559" s="6">
        <v>43425.377060185187</v>
      </c>
      <c r="B1559" s="7" t="str">
        <f>HYPERLINK("https://twitter.com/puringerMe","@puringerMe")</f>
        <v>@puringerMe</v>
      </c>
      <c r="C1559" s="8" t="s">
        <v>6770</v>
      </c>
      <c r="D1559" s="9" t="s">
        <v>6771</v>
      </c>
      <c r="E1559" s="10" t="str">
        <f>HYPERLINK("https://twitter.com/puringerMe/status/1065153585242091520","1065153585242091520")</f>
        <v>1065153585242091520</v>
      </c>
      <c r="F1559" s="12"/>
      <c r="G1559" s="12"/>
      <c r="H1559" s="12"/>
      <c r="I1559" s="13">
        <v>51</v>
      </c>
      <c r="J1559" s="13">
        <v>185</v>
      </c>
      <c r="K1559" s="14" t="str">
        <f t="shared" ref="K1559:K1560" si="317">HYPERLINK("http://twitter.com/download/iphone","Twitter for iPhone")</f>
        <v>Twitter for iPhone</v>
      </c>
      <c r="L1559" s="13">
        <v>5849</v>
      </c>
      <c r="M1559" s="13">
        <v>651</v>
      </c>
      <c r="N1559" s="13">
        <v>114</v>
      </c>
      <c r="O1559" s="15"/>
      <c r="P1559" s="6">
        <v>41412.412974537037</v>
      </c>
      <c r="Q1559" s="16" t="s">
        <v>6772</v>
      </c>
      <c r="R1559" s="17" t="s">
        <v>6773</v>
      </c>
      <c r="S1559" s="12"/>
      <c r="T1559" s="12"/>
      <c r="U1559" s="10" t="str">
        <f>HYPERLINK("https://pbs.twimg.com/profile_images/1056590118096658432/bUNbxSxB.jpg","View")</f>
        <v>View</v>
      </c>
    </row>
    <row r="1560" spans="1:21" ht="20.399999999999999">
      <c r="A1560" s="6">
        <v>43425.377060185187</v>
      </c>
      <c r="B1560" s="7" t="str">
        <f>HYPERLINK("https://twitter.com/sierra__15","@sierra__15")</f>
        <v>@sierra__15</v>
      </c>
      <c r="C1560" s="8" t="s">
        <v>6774</v>
      </c>
      <c r="D1560" s="9" t="s">
        <v>6775</v>
      </c>
      <c r="E1560" s="10" t="str">
        <f>HYPERLINK("https://twitter.com/sierra__15/status/1065153581215555584","1065153581215555584")</f>
        <v>1065153581215555584</v>
      </c>
      <c r="F1560" s="12"/>
      <c r="G1560" s="12"/>
      <c r="H1560" s="12"/>
      <c r="I1560" s="13">
        <v>0</v>
      </c>
      <c r="J1560" s="13">
        <v>0</v>
      </c>
      <c r="K1560" s="14" t="str">
        <f t="shared" si="317"/>
        <v>Twitter for iPhone</v>
      </c>
      <c r="L1560" s="13">
        <v>365</v>
      </c>
      <c r="M1560" s="13">
        <v>374</v>
      </c>
      <c r="N1560" s="13">
        <v>1</v>
      </c>
      <c r="O1560" s="15"/>
      <c r="P1560" s="6">
        <v>41349.797731481478</v>
      </c>
      <c r="Q1560" s="16" t="s">
        <v>6776</v>
      </c>
      <c r="R1560" s="17" t="s">
        <v>6777</v>
      </c>
      <c r="S1560" s="12"/>
      <c r="T1560" s="12"/>
      <c r="U1560" s="10" t="str">
        <f>HYPERLINK("https://pbs.twimg.com/profile_images/666894455371378689/V_k7b-_W.jpg","View")</f>
        <v>View</v>
      </c>
    </row>
    <row r="1561" spans="1:21" ht="51">
      <c r="A1561" s="6">
        <v>43425.376388888893</v>
      </c>
      <c r="B1561" s="7" t="str">
        <f>HYPERLINK("https://twitter.com/bitMomentum","@bitMomentum")</f>
        <v>@bitMomentum</v>
      </c>
      <c r="C1561" s="8" t="s">
        <v>706</v>
      </c>
      <c r="D1561" s="9" t="s">
        <v>3826</v>
      </c>
      <c r="E1561" s="10" t="str">
        <f>HYPERLINK("https://twitter.com/bitMomentum/status/1065153338667397120","1065153338667397120")</f>
        <v>1065153338667397120</v>
      </c>
      <c r="F1561" s="12"/>
      <c r="G1561" s="12"/>
      <c r="H1561" s="12"/>
      <c r="I1561" s="13">
        <v>0</v>
      </c>
      <c r="J1561" s="13">
        <v>0</v>
      </c>
      <c r="K1561" s="14" t="str">
        <f>HYPERLINK("http://www.bitmomentum.com","bitMomentum Bot")</f>
        <v>bitMomentum Bot</v>
      </c>
      <c r="L1561" s="13">
        <v>10132</v>
      </c>
      <c r="M1561" s="13">
        <v>1060</v>
      </c>
      <c r="N1561" s="13">
        <v>262</v>
      </c>
      <c r="O1561" s="15"/>
      <c r="P1561" s="6">
        <v>41608.667511574073</v>
      </c>
      <c r="Q1561" s="12"/>
      <c r="R1561" s="17" t="s">
        <v>708</v>
      </c>
      <c r="S1561" s="11" t="s">
        <v>709</v>
      </c>
      <c r="T1561" s="12"/>
      <c r="U1561" s="10" t="str">
        <f>HYPERLINK("https://pbs.twimg.com/profile_images/378800000862185241/20ij2H3u.png","View")</f>
        <v>View</v>
      </c>
    </row>
    <row r="1562" spans="1:21" ht="30.6">
      <c r="A1562" s="6">
        <v>43425.37600694444</v>
      </c>
      <c r="B1562" s="7" t="str">
        <f>HYPERLINK("https://twitter.com/damepacienciaya","@damepacienciaya")</f>
        <v>@damepacienciaya</v>
      </c>
      <c r="C1562" s="8" t="s">
        <v>6778</v>
      </c>
      <c r="D1562" s="9" t="s">
        <v>6779</v>
      </c>
      <c r="E1562" s="10" t="str">
        <f>HYPERLINK("https://twitter.com/damepacienciaya/status/1065153203426213888","1065153203426213888")</f>
        <v>1065153203426213888</v>
      </c>
      <c r="F1562" s="12"/>
      <c r="G1562" s="12"/>
      <c r="H1562" s="12"/>
      <c r="I1562" s="13">
        <v>0</v>
      </c>
      <c r="J1562" s="13">
        <v>0</v>
      </c>
      <c r="K1562" s="14" t="str">
        <f>HYPERLINK("http://twitter.com/download/android","Twitter for Android")</f>
        <v>Twitter for Android</v>
      </c>
      <c r="L1562" s="13">
        <v>227</v>
      </c>
      <c r="M1562" s="13">
        <v>184</v>
      </c>
      <c r="N1562" s="13">
        <v>9</v>
      </c>
      <c r="O1562" s="15"/>
      <c r="P1562" s="6">
        <v>42705.718553240746</v>
      </c>
      <c r="Q1562" s="16" t="s">
        <v>37</v>
      </c>
      <c r="R1562" s="17" t="s">
        <v>6780</v>
      </c>
      <c r="S1562" s="12"/>
      <c r="T1562" s="12"/>
      <c r="U1562" s="10" t="str">
        <f>HYPERLINK("https://pbs.twimg.com/profile_images/804661993319919616/nTeI3OXw.jpg","View")</f>
        <v>View</v>
      </c>
    </row>
    <row r="1563" spans="1:21" ht="51">
      <c r="A1563" s="6">
        <v>43425.375868055555</v>
      </c>
      <c r="B1563" s="7" t="str">
        <f>HYPERLINK("https://twitter.com/MNievesRamirez","@MNievesRamirez")</f>
        <v>@MNievesRamirez</v>
      </c>
      <c r="C1563" s="8" t="s">
        <v>3832</v>
      </c>
      <c r="D1563" s="9" t="s">
        <v>3833</v>
      </c>
      <c r="E1563" s="10" t="str">
        <f>HYPERLINK("https://twitter.com/MNievesRamirez/status/1065153150569586688","1065153150569586688")</f>
        <v>1065153150569586688</v>
      </c>
      <c r="F1563" s="12"/>
      <c r="G1563" s="12"/>
      <c r="H1563" s="12"/>
      <c r="I1563" s="13">
        <v>2</v>
      </c>
      <c r="J1563" s="13">
        <v>3</v>
      </c>
      <c r="K1563" s="14" t="str">
        <f>HYPERLINK("http://twitter.com/download/iphone","Twitter for iPhone")</f>
        <v>Twitter for iPhone</v>
      </c>
      <c r="L1563" s="13">
        <v>2863</v>
      </c>
      <c r="M1563" s="13">
        <v>2319</v>
      </c>
      <c r="N1563" s="13">
        <v>64</v>
      </c>
      <c r="O1563" s="15"/>
      <c r="P1563" s="6">
        <v>40455.995196759257</v>
      </c>
      <c r="Q1563" s="16" t="s">
        <v>3835</v>
      </c>
      <c r="R1563" s="17" t="s">
        <v>3836</v>
      </c>
      <c r="S1563" s="12"/>
      <c r="T1563" s="12"/>
      <c r="U1563" s="10" t="str">
        <f>HYPERLINK("https://pbs.twimg.com/profile_images/854036860846444544/cpn1gQ3q.jpg","View")</f>
        <v>View</v>
      </c>
    </row>
    <row r="1564" spans="1:21" ht="30.6">
      <c r="A1564" s="6">
        <v>43425.375833333332</v>
      </c>
      <c r="B1564" s="7" t="str">
        <f>HYPERLINK("https://twitter.com/jordipsalvador","@jordipsalvador")</f>
        <v>@jordipsalvador</v>
      </c>
      <c r="C1564" s="8" t="s">
        <v>6781</v>
      </c>
      <c r="D1564" s="9" t="s">
        <v>6782</v>
      </c>
      <c r="E1564" s="10" t="str">
        <f>HYPERLINK("https://twitter.com/jordipsalvador/status/1065153137240084480","1065153137240084480")</f>
        <v>1065153137240084480</v>
      </c>
      <c r="F1564" s="11" t="s">
        <v>6783</v>
      </c>
      <c r="G1564" s="12"/>
      <c r="H1564" s="12"/>
      <c r="I1564" s="13">
        <v>0</v>
      </c>
      <c r="J1564" s="13">
        <v>0</v>
      </c>
      <c r="K1564" s="14" t="str">
        <f>HYPERLINK("https://ifttt.com","IFTTT")</f>
        <v>IFTTT</v>
      </c>
      <c r="L1564" s="13">
        <v>1069</v>
      </c>
      <c r="M1564" s="13">
        <v>2238</v>
      </c>
      <c r="N1564" s="13">
        <v>79</v>
      </c>
      <c r="O1564" s="15"/>
      <c r="P1564" s="6">
        <v>40679.809872685189</v>
      </c>
      <c r="Q1564" s="16" t="s">
        <v>6784</v>
      </c>
      <c r="R1564" s="17" t="s">
        <v>6785</v>
      </c>
      <c r="S1564" s="11" t="s">
        <v>6786</v>
      </c>
      <c r="T1564" s="12"/>
      <c r="U1564" s="10" t="str">
        <f>HYPERLINK("https://pbs.twimg.com/profile_images/1041429790044180480/E8YoBssK.jpg","View")</f>
        <v>View</v>
      </c>
    </row>
    <row r="1565" spans="1:21" ht="51">
      <c r="A1565" s="6">
        <v>43425.375694444447</v>
      </c>
      <c r="B1565" s="7" t="str">
        <f>HYPERLINK("https://twitter.com/bitMomentum","@bitMomentum")</f>
        <v>@bitMomentum</v>
      </c>
      <c r="C1565" s="8" t="s">
        <v>706</v>
      </c>
      <c r="D1565" s="9" t="s">
        <v>3837</v>
      </c>
      <c r="E1565" s="10" t="str">
        <f>HYPERLINK("https://twitter.com/bitMomentum/status/1065153086983942144","1065153086983942144")</f>
        <v>1065153086983942144</v>
      </c>
      <c r="F1565" s="12"/>
      <c r="G1565" s="12"/>
      <c r="H1565" s="12"/>
      <c r="I1565" s="13">
        <v>4</v>
      </c>
      <c r="J1565" s="13">
        <v>6</v>
      </c>
      <c r="K1565" s="14" t="str">
        <f>HYPERLINK("http://www.bitmomentum.com","bitMomentum Bot")</f>
        <v>bitMomentum Bot</v>
      </c>
      <c r="L1565" s="13">
        <v>10132</v>
      </c>
      <c r="M1565" s="13">
        <v>1060</v>
      </c>
      <c r="N1565" s="13">
        <v>262</v>
      </c>
      <c r="O1565" s="15"/>
      <c r="P1565" s="6">
        <v>41608.667511574073</v>
      </c>
      <c r="Q1565" s="12"/>
      <c r="R1565" s="17" t="s">
        <v>708</v>
      </c>
      <c r="S1565" s="11" t="s">
        <v>709</v>
      </c>
      <c r="T1565" s="12"/>
      <c r="U1565" s="10" t="str">
        <f>HYPERLINK("https://pbs.twimg.com/profile_images/378800000862185241/20ij2H3u.png","View")</f>
        <v>View</v>
      </c>
    </row>
    <row r="1566" spans="1:21" ht="51">
      <c r="A1566" s="6">
        <v>43425.373506944445</v>
      </c>
      <c r="B1566" s="7" t="str">
        <f>HYPERLINK("https://twitter.com/afarrasc","@afarrasc")</f>
        <v>@afarrasc</v>
      </c>
      <c r="C1566" s="8" t="s">
        <v>6787</v>
      </c>
      <c r="D1566" s="9" t="s">
        <v>6788</v>
      </c>
      <c r="E1566" s="10" t="str">
        <f>HYPERLINK("https://twitter.com/afarrasc/status/1065152294776463360","1065152294776463360")</f>
        <v>1065152294776463360</v>
      </c>
      <c r="F1566" s="12"/>
      <c r="G1566" s="12"/>
      <c r="H1566" s="12"/>
      <c r="I1566" s="13">
        <v>5</v>
      </c>
      <c r="J1566" s="13">
        <v>3</v>
      </c>
      <c r="K1566" s="14" t="str">
        <f t="shared" ref="K1566:K1567" si="318">HYPERLINK("http://twitter.com/download/android","Twitter for Android")</f>
        <v>Twitter for Android</v>
      </c>
      <c r="L1566" s="13">
        <v>1804</v>
      </c>
      <c r="M1566" s="13">
        <v>789</v>
      </c>
      <c r="N1566" s="13">
        <v>81</v>
      </c>
      <c r="O1566" s="15"/>
      <c r="P1566" s="6">
        <v>40785.547118055554</v>
      </c>
      <c r="Q1566" s="16" t="s">
        <v>6789</v>
      </c>
      <c r="R1566" s="17" t="s">
        <v>6790</v>
      </c>
      <c r="S1566" s="11" t="s">
        <v>6791</v>
      </c>
      <c r="T1566" s="12"/>
      <c r="U1566" s="10" t="str">
        <f>HYPERLINK("https://pbs.twimg.com/profile_images/456387987253649408/KUq9KBOT.jpeg","View")</f>
        <v>View</v>
      </c>
    </row>
    <row r="1567" spans="1:21" ht="91.8">
      <c r="A1567" s="6">
        <v>43425.373229166667</v>
      </c>
      <c r="B1567" s="7" t="str">
        <f>HYPERLINK("https://twitter.com/garciagarciaix","@garciagarciaix")</f>
        <v>@garciagarciaix</v>
      </c>
      <c r="C1567" s="8" t="s">
        <v>6792</v>
      </c>
      <c r="D1567" s="9" t="s">
        <v>6793</v>
      </c>
      <c r="E1567" s="10" t="str">
        <f>HYPERLINK("https://twitter.com/garciagarciaix/status/1065152196193513472","1065152196193513472")</f>
        <v>1065152196193513472</v>
      </c>
      <c r="F1567" s="11" t="s">
        <v>6794</v>
      </c>
      <c r="G1567" s="12"/>
      <c r="H1567" s="12"/>
      <c r="I1567" s="13">
        <v>34</v>
      </c>
      <c r="J1567" s="13">
        <v>102</v>
      </c>
      <c r="K1567" s="14" t="str">
        <f t="shared" si="318"/>
        <v>Twitter for Android</v>
      </c>
      <c r="L1567" s="13">
        <v>9148</v>
      </c>
      <c r="M1567" s="13">
        <v>6545</v>
      </c>
      <c r="N1567" s="13">
        <v>21</v>
      </c>
      <c r="O1567" s="15"/>
      <c r="P1567" s="6">
        <v>41091.478252314817</v>
      </c>
      <c r="Q1567" s="16" t="s">
        <v>6795</v>
      </c>
      <c r="R1567" s="17" t="s">
        <v>6796</v>
      </c>
      <c r="S1567" s="12"/>
      <c r="T1567" s="12"/>
      <c r="U1567" s="10" t="str">
        <f>HYPERLINK("https://pbs.twimg.com/profile_images/998485000528969728/lvI9rznF.jpg","View")</f>
        <v>View</v>
      </c>
    </row>
    <row r="1568" spans="1:21" ht="51">
      <c r="A1568" s="6">
        <v>43425.373206018514</v>
      </c>
      <c r="B1568" s="7" t="str">
        <f>HYPERLINK("https://twitter.com/ErnesRod","@ErnesRod")</f>
        <v>@ErnesRod</v>
      </c>
      <c r="C1568" s="8" t="s">
        <v>6797</v>
      </c>
      <c r="D1568" s="9" t="s">
        <v>6798</v>
      </c>
      <c r="E1568" s="10" t="str">
        <f>HYPERLINK("https://twitter.com/ErnesRod/status/1065152187993600000","1065152187993600000")</f>
        <v>1065152187993600000</v>
      </c>
      <c r="F1568" s="12"/>
      <c r="G1568" s="12"/>
      <c r="H1568" s="12"/>
      <c r="I1568" s="13">
        <v>11</v>
      </c>
      <c r="J1568" s="13">
        <v>3</v>
      </c>
      <c r="K1568" s="14" t="str">
        <f t="shared" ref="K1568:K1570" si="319">HYPERLINK("http://twitter.com/download/iphone","Twitter for iPhone")</f>
        <v>Twitter for iPhone</v>
      </c>
      <c r="L1568" s="13">
        <v>1120</v>
      </c>
      <c r="M1568" s="13">
        <v>343</v>
      </c>
      <c r="N1568" s="13">
        <v>10</v>
      </c>
      <c r="O1568" s="15"/>
      <c r="P1568" s="6">
        <v>40114.869490740741</v>
      </c>
      <c r="Q1568" s="16" t="s">
        <v>6799</v>
      </c>
      <c r="R1568" s="17" t="s">
        <v>6800</v>
      </c>
      <c r="S1568" s="12"/>
      <c r="T1568" s="12"/>
      <c r="U1568" s="10" t="str">
        <f>HYPERLINK("https://pbs.twimg.com/profile_images/1009578544991744000/oQTHjGLH.jpg","View")</f>
        <v>View</v>
      </c>
    </row>
    <row r="1569" spans="1:21" ht="30.6">
      <c r="A1569" s="6">
        <v>43425.372557870374</v>
      </c>
      <c r="B1569" s="7" t="str">
        <f>HYPERLINK("https://twitter.com/miguel_delarosa","@miguel_delarosa")</f>
        <v>@miguel_delarosa</v>
      </c>
      <c r="C1569" s="8" t="s">
        <v>3839</v>
      </c>
      <c r="D1569" s="9" t="s">
        <v>3840</v>
      </c>
      <c r="E1569" s="10" t="str">
        <f>HYPERLINK("https://twitter.com/miguel_delarosa/status/1065151953674608646","1065151953674608646")</f>
        <v>1065151953674608646</v>
      </c>
      <c r="F1569" s="12"/>
      <c r="G1569" s="12"/>
      <c r="H1569" s="12"/>
      <c r="I1569" s="13">
        <v>3</v>
      </c>
      <c r="J1569" s="13">
        <v>1</v>
      </c>
      <c r="K1569" s="14" t="str">
        <f t="shared" si="319"/>
        <v>Twitter for iPhone</v>
      </c>
      <c r="L1569" s="13">
        <v>7151</v>
      </c>
      <c r="M1569" s="13">
        <v>4665</v>
      </c>
      <c r="N1569" s="13">
        <v>117</v>
      </c>
      <c r="O1569" s="15"/>
      <c r="P1569" s="6">
        <v>40223.789398148147</v>
      </c>
      <c r="Q1569" s="16" t="s">
        <v>3841</v>
      </c>
      <c r="R1569" s="17" t="s">
        <v>3842</v>
      </c>
      <c r="S1569" s="11" t="s">
        <v>3843</v>
      </c>
      <c r="T1569" s="12"/>
      <c r="U1569" s="10" t="str">
        <f>HYPERLINK("https://pbs.twimg.com/profile_images/1062991702338822144/tsV4NF96.jpg","View")</f>
        <v>View</v>
      </c>
    </row>
    <row r="1570" spans="1:21" ht="51">
      <c r="A1570" s="6">
        <v>43425.372511574074</v>
      </c>
      <c r="B1570" s="7" t="str">
        <f>HYPERLINK("https://twitter.com/capitan_ahab","@capitan_ahab")</f>
        <v>@capitan_ahab</v>
      </c>
      <c r="C1570" s="8" t="s">
        <v>689</v>
      </c>
      <c r="D1570" s="9" t="s">
        <v>3844</v>
      </c>
      <c r="E1570" s="10" t="str">
        <f>HYPERLINK("https://twitter.com/capitan_ahab/status/1065151934527651840","1065151934527651840")</f>
        <v>1065151934527651840</v>
      </c>
      <c r="F1570" s="12"/>
      <c r="G1570" s="12"/>
      <c r="H1570" s="12"/>
      <c r="I1570" s="13">
        <v>12</v>
      </c>
      <c r="J1570" s="13">
        <v>10</v>
      </c>
      <c r="K1570" s="14" t="str">
        <f t="shared" si="319"/>
        <v>Twitter for iPhone</v>
      </c>
      <c r="L1570" s="13">
        <v>10143</v>
      </c>
      <c r="M1570" s="13">
        <v>9754</v>
      </c>
      <c r="N1570" s="13">
        <v>208</v>
      </c>
      <c r="O1570" s="15"/>
      <c r="P1570" s="6">
        <v>40049.865416666667</v>
      </c>
      <c r="Q1570" s="16" t="s">
        <v>692</v>
      </c>
      <c r="R1570" s="17" t="s">
        <v>693</v>
      </c>
      <c r="S1570" s="11" t="s">
        <v>694</v>
      </c>
      <c r="T1570" s="12"/>
      <c r="U1570" s="10" t="str">
        <f>HYPERLINK("https://pbs.twimg.com/profile_images/970981738955640832/jw5x2di6.jpg","View")</f>
        <v>View</v>
      </c>
    </row>
    <row r="1571" spans="1:21" ht="30.6">
      <c r="A1571" s="6">
        <v>43425.372430555552</v>
      </c>
      <c r="B1571" s="7" t="str">
        <f>HYPERLINK("https://twitter.com/Dunban_CDZ","@Dunban_CDZ")</f>
        <v>@Dunban_CDZ</v>
      </c>
      <c r="C1571" s="8" t="s">
        <v>3848</v>
      </c>
      <c r="D1571" s="9" t="s">
        <v>3849</v>
      </c>
      <c r="E1571" s="10" t="str">
        <f>HYPERLINK("https://twitter.com/Dunban_CDZ/status/1065151903586226176","1065151903586226176")</f>
        <v>1065151903586226176</v>
      </c>
      <c r="F1571" s="12"/>
      <c r="G1571" s="12"/>
      <c r="H1571" s="12"/>
      <c r="I1571" s="13">
        <v>2</v>
      </c>
      <c r="J1571" s="13">
        <v>3</v>
      </c>
      <c r="K1571" s="14" t="str">
        <f t="shared" ref="K1571:K1572" si="320">HYPERLINK("http://twitter.com/download/android","Twitter for Android")</f>
        <v>Twitter for Android</v>
      </c>
      <c r="L1571" s="13">
        <v>1689</v>
      </c>
      <c r="M1571" s="13">
        <v>975</v>
      </c>
      <c r="N1571" s="13">
        <v>9</v>
      </c>
      <c r="O1571" s="15"/>
      <c r="P1571" s="6">
        <v>40889.51290509259</v>
      </c>
      <c r="Q1571" s="16" t="s">
        <v>3851</v>
      </c>
      <c r="R1571" s="17" t="s">
        <v>3852</v>
      </c>
      <c r="S1571" s="12"/>
      <c r="T1571" s="12"/>
      <c r="U1571" s="10" t="str">
        <f>HYPERLINK("https://pbs.twimg.com/profile_images/833654230355476480/AlVcz_eW.jpg","View")</f>
        <v>View</v>
      </c>
    </row>
    <row r="1572" spans="1:21" ht="20.399999999999999">
      <c r="A1572" s="6">
        <v>43425.372361111113</v>
      </c>
      <c r="B1572" s="7" t="str">
        <f>HYPERLINK("https://twitter.com/SarytaMonster","@SarytaMonster")</f>
        <v>@SarytaMonster</v>
      </c>
      <c r="C1572" s="8" t="s">
        <v>6801</v>
      </c>
      <c r="D1572" s="9" t="s">
        <v>6802</v>
      </c>
      <c r="E1572" s="10" t="str">
        <f>HYPERLINK("https://twitter.com/SarytaMonster/status/1065151881595576321","1065151881595576321")</f>
        <v>1065151881595576321</v>
      </c>
      <c r="F1572" s="12"/>
      <c r="G1572" s="12"/>
      <c r="H1572" s="12"/>
      <c r="I1572" s="13">
        <v>0</v>
      </c>
      <c r="J1572" s="13">
        <v>2</v>
      </c>
      <c r="K1572" s="14" t="str">
        <f t="shared" si="320"/>
        <v>Twitter for Android</v>
      </c>
      <c r="L1572" s="13">
        <v>2065</v>
      </c>
      <c r="M1572" s="13">
        <v>1083</v>
      </c>
      <c r="N1572" s="13">
        <v>21</v>
      </c>
      <c r="O1572" s="15"/>
      <c r="P1572" s="6">
        <v>40139.643020833333</v>
      </c>
      <c r="Q1572" s="16" t="s">
        <v>6803</v>
      </c>
      <c r="R1572" s="17" t="s">
        <v>6804</v>
      </c>
      <c r="S1572" s="11" t="s">
        <v>6805</v>
      </c>
      <c r="T1572" s="12"/>
      <c r="U1572" s="10" t="str">
        <f>HYPERLINK("https://pbs.twimg.com/profile_images/1035567357765345282/1A-M1FbM.jpg","View")</f>
        <v>View</v>
      </c>
    </row>
    <row r="1573" spans="1:21" ht="40.799999999999997">
      <c r="A1573" s="6">
        <v>43425.371898148151</v>
      </c>
      <c r="B1573" s="7" t="str">
        <f>HYPERLINK("https://twitter.com/VMatterfilm","@VMatterfilm")</f>
        <v>@VMatterfilm</v>
      </c>
      <c r="C1573" s="8" t="s">
        <v>6806</v>
      </c>
      <c r="D1573" s="9" t="s">
        <v>6807</v>
      </c>
      <c r="E1573" s="10" t="str">
        <f>HYPERLINK("https://twitter.com/VMatterfilm/status/1065151711487111173","1065151711487111173")</f>
        <v>1065151711487111173</v>
      </c>
      <c r="F1573" s="12"/>
      <c r="G1573" s="12"/>
      <c r="H1573" s="12"/>
      <c r="I1573" s="13">
        <v>4</v>
      </c>
      <c r="J1573" s="13">
        <v>10</v>
      </c>
      <c r="K1573" s="14" t="str">
        <f>HYPERLINK("http://twitter.com/download/iphone","Twitter for iPhone")</f>
        <v>Twitter for iPhone</v>
      </c>
      <c r="L1573" s="13">
        <v>30444</v>
      </c>
      <c r="M1573" s="13">
        <v>11115</v>
      </c>
      <c r="N1573" s="13">
        <v>328</v>
      </c>
      <c r="O1573" s="15"/>
      <c r="P1573" s="6">
        <v>40212.43167824074</v>
      </c>
      <c r="Q1573" s="16" t="s">
        <v>6808</v>
      </c>
      <c r="R1573" s="17" t="s">
        <v>6809</v>
      </c>
      <c r="S1573" s="11" t="s">
        <v>6810</v>
      </c>
      <c r="T1573" s="12"/>
      <c r="U1573" s="10" t="str">
        <f>HYPERLINK("https://pbs.twimg.com/profile_images/1052534491007205376/J1wjvqB2.jpg","View")</f>
        <v>View</v>
      </c>
    </row>
    <row r="1574" spans="1:21" ht="30.6">
      <c r="A1574" s="6">
        <v>43425.371736111112</v>
      </c>
      <c r="B1574" s="7" t="str">
        <f>HYPERLINK("https://twitter.com/SergioSariegu","@SergioSariegu")</f>
        <v>@SergioSariegu</v>
      </c>
      <c r="C1574" s="8" t="s">
        <v>3854</v>
      </c>
      <c r="D1574" s="9" t="s">
        <v>3855</v>
      </c>
      <c r="E1574" s="10" t="str">
        <f>HYPERLINK("https://twitter.com/SergioSariegu/status/1065151653295398912","1065151653295398912")</f>
        <v>1065151653295398912</v>
      </c>
      <c r="F1574" s="12"/>
      <c r="G1574" s="12"/>
      <c r="H1574" s="12"/>
      <c r="I1574" s="13">
        <v>0</v>
      </c>
      <c r="J1574" s="13">
        <v>0</v>
      </c>
      <c r="K1574" s="14" t="str">
        <f t="shared" ref="K1574:K1575" si="321">HYPERLINK("http://twitter.com/download/android","Twitter for Android")</f>
        <v>Twitter for Android</v>
      </c>
      <c r="L1574" s="13">
        <v>2020</v>
      </c>
      <c r="M1574" s="13">
        <v>1339</v>
      </c>
      <c r="N1574" s="13">
        <v>45</v>
      </c>
      <c r="O1574" s="15"/>
      <c r="P1574" s="6">
        <v>40387.744780092595</v>
      </c>
      <c r="Q1574" s="16" t="s">
        <v>3856</v>
      </c>
      <c r="R1574" s="17" t="s">
        <v>3857</v>
      </c>
      <c r="S1574" s="11" t="s">
        <v>3858</v>
      </c>
      <c r="T1574" s="12"/>
      <c r="U1574" s="10" t="str">
        <f>HYPERLINK("https://pbs.twimg.com/profile_images/992128325857501190/FjkObOtL.jpg","View")</f>
        <v>View</v>
      </c>
    </row>
    <row r="1575" spans="1:21" ht="30.6">
      <c r="A1575" s="6">
        <v>43425.371655092589</v>
      </c>
      <c r="B1575" s="7" t="str">
        <f>HYPERLINK("https://twitter.com/SophieRohirrim","@SophieRohirrim")</f>
        <v>@SophieRohirrim</v>
      </c>
      <c r="C1575" s="8" t="s">
        <v>3859</v>
      </c>
      <c r="D1575" s="9" t="s">
        <v>3860</v>
      </c>
      <c r="E1575" s="10" t="str">
        <f>HYPERLINK("https://twitter.com/SophieRohirrim/status/1065151624115560448","1065151624115560448")</f>
        <v>1065151624115560448</v>
      </c>
      <c r="F1575" s="12"/>
      <c r="G1575" s="12"/>
      <c r="H1575" s="12"/>
      <c r="I1575" s="13">
        <v>0</v>
      </c>
      <c r="J1575" s="13">
        <v>0</v>
      </c>
      <c r="K1575" s="14" t="str">
        <f t="shared" si="321"/>
        <v>Twitter for Android</v>
      </c>
      <c r="L1575" s="13">
        <v>496</v>
      </c>
      <c r="M1575" s="13">
        <v>464</v>
      </c>
      <c r="N1575" s="13">
        <v>11</v>
      </c>
      <c r="O1575" s="15"/>
      <c r="P1575" s="6">
        <v>40267.420543981483</v>
      </c>
      <c r="Q1575" s="16" t="s">
        <v>118</v>
      </c>
      <c r="R1575" s="17" t="s">
        <v>3863</v>
      </c>
      <c r="S1575" s="12"/>
      <c r="T1575" s="12"/>
      <c r="U1575" s="10" t="str">
        <f>HYPERLINK("https://pbs.twimg.com/profile_images/796060598861778944/18j5Luxb.jpg","View")</f>
        <v>View</v>
      </c>
    </row>
    <row r="1576" spans="1:21" ht="30.6">
      <c r="A1576" s="6">
        <v>43425.371423611112</v>
      </c>
      <c r="B1576" s="7" t="str">
        <f>HYPERLINK("https://twitter.com/SoyunFDF","@SoyunFDF")</f>
        <v>@SoyunFDF</v>
      </c>
      <c r="C1576" s="8" t="s">
        <v>6811</v>
      </c>
      <c r="D1576" s="9" t="s">
        <v>6812</v>
      </c>
      <c r="E1576" s="10" t="str">
        <f>HYPERLINK("https://twitter.com/SoyunFDF/status/1065151539835211776","1065151539835211776")</f>
        <v>1065151539835211776</v>
      </c>
      <c r="F1576" s="12"/>
      <c r="G1576" s="12"/>
      <c r="H1576" s="12"/>
      <c r="I1576" s="13">
        <v>0</v>
      </c>
      <c r="J1576" s="13">
        <v>0</v>
      </c>
      <c r="K1576" s="14" t="str">
        <f>HYPERLINK("http://twitter.com/download/iphone","Twitter for iPhone")</f>
        <v>Twitter for iPhone</v>
      </c>
      <c r="L1576" s="13">
        <v>965</v>
      </c>
      <c r="M1576" s="13">
        <v>1175</v>
      </c>
      <c r="N1576" s="13">
        <v>21</v>
      </c>
      <c r="O1576" s="15"/>
      <c r="P1576" s="6">
        <v>40226.104328703703</v>
      </c>
      <c r="Q1576" s="12"/>
      <c r="R1576" s="17" t="s">
        <v>6813</v>
      </c>
      <c r="S1576" s="12"/>
      <c r="T1576" s="12"/>
      <c r="U1576" s="10" t="str">
        <f>HYPERLINK("https://pbs.twimg.com/profile_images/867473288519458817/OHnX_SjR.jpg","View")</f>
        <v>View</v>
      </c>
    </row>
    <row r="1577" spans="1:21" ht="51">
      <c r="A1577" s="6">
        <v>43425.371365740742</v>
      </c>
      <c r="B1577" s="7" t="str">
        <f>HYPERLINK("https://twitter.com/EsPeriodismo","@EsPeriodismo")</f>
        <v>@EsPeriodismo</v>
      </c>
      <c r="C1577" s="8" t="s">
        <v>6754</v>
      </c>
      <c r="D1577" s="9" t="s">
        <v>6814</v>
      </c>
      <c r="E1577" s="10" t="str">
        <f>HYPERLINK("https://twitter.com/EsPeriodismo/status/1065151521183145984","1065151521183145984")</f>
        <v>1065151521183145984</v>
      </c>
      <c r="F1577" s="12"/>
      <c r="G1577" s="12"/>
      <c r="H1577" s="12"/>
      <c r="I1577" s="13">
        <v>1</v>
      </c>
      <c r="J1577" s="13">
        <v>3</v>
      </c>
      <c r="K1577" s="14" t="str">
        <f>HYPERLINK("http://twitter.com/download/android","Twitter for Android")</f>
        <v>Twitter for Android</v>
      </c>
      <c r="L1577" s="13">
        <v>8167</v>
      </c>
      <c r="M1577" s="13">
        <v>2509</v>
      </c>
      <c r="N1577" s="13">
        <v>257</v>
      </c>
      <c r="O1577" s="15"/>
      <c r="P1577" s="6">
        <v>40619.000520833331</v>
      </c>
      <c r="Q1577" s="16" t="s">
        <v>421</v>
      </c>
      <c r="R1577" s="17" t="s">
        <v>6757</v>
      </c>
      <c r="S1577" s="11" t="s">
        <v>6758</v>
      </c>
      <c r="T1577" s="12"/>
      <c r="U1577" s="10" t="str">
        <f>HYPERLINK("https://pbs.twimg.com/profile_images/846011107546468356/D0yX9QH7.jpg","View")</f>
        <v>View</v>
      </c>
    </row>
    <row r="1578" spans="1:21" ht="51">
      <c r="A1578" s="6">
        <v>43425.371192129634</v>
      </c>
      <c r="B1578" s="7" t="str">
        <f>HYPERLINK("https://twitter.com/DavidLombao","@DavidLombao")</f>
        <v>@DavidLombao</v>
      </c>
      <c r="C1578" s="8" t="s">
        <v>6815</v>
      </c>
      <c r="D1578" s="9" t="s">
        <v>6816</v>
      </c>
      <c r="E1578" s="10" t="str">
        <f>HYPERLINK("https://twitter.com/DavidLombao/status/1065151455110328320","1065151455110328320")</f>
        <v>1065151455110328320</v>
      </c>
      <c r="F1578" s="12"/>
      <c r="G1578" s="12"/>
      <c r="H1578" s="12"/>
      <c r="I1578" s="13">
        <v>10</v>
      </c>
      <c r="J1578" s="13">
        <v>39</v>
      </c>
      <c r="K1578" s="14" t="str">
        <f t="shared" ref="K1578:K1579" si="322">HYPERLINK("http://twitter.com","Twitter Web Client")</f>
        <v>Twitter Web Client</v>
      </c>
      <c r="L1578" s="13">
        <v>8706</v>
      </c>
      <c r="M1578" s="13">
        <v>1116</v>
      </c>
      <c r="N1578" s="13">
        <v>216</v>
      </c>
      <c r="O1578" s="15"/>
      <c r="P1578" s="6">
        <v>40113.09648148148</v>
      </c>
      <c r="Q1578" s="16" t="s">
        <v>6817</v>
      </c>
      <c r="R1578" s="17" t="s">
        <v>6818</v>
      </c>
      <c r="S1578" s="12"/>
      <c r="T1578" s="12"/>
      <c r="U1578" s="10" t="str">
        <f>HYPERLINK("https://pbs.twimg.com/profile_images/557229766864941058/2U7oQ8dI.jpeg","View")</f>
        <v>View</v>
      </c>
    </row>
    <row r="1579" spans="1:21" ht="40.799999999999997">
      <c r="A1579" s="6">
        <v>43425.370752314819</v>
      </c>
      <c r="B1579" s="7" t="str">
        <f>HYPERLINK("https://twitter.com/PCamorrista","@PCamorrista")</f>
        <v>@PCamorrista</v>
      </c>
      <c r="C1579" s="8" t="s">
        <v>311</v>
      </c>
      <c r="D1579" s="9" t="s">
        <v>3866</v>
      </c>
      <c r="E1579" s="10" t="str">
        <f>HYPERLINK("https://twitter.com/PCamorrista/status/1065151296490127360","1065151296490127360")</f>
        <v>1065151296490127360</v>
      </c>
      <c r="F1579" s="11" t="s">
        <v>3867</v>
      </c>
      <c r="G1579" s="12"/>
      <c r="H1579" s="12"/>
      <c r="I1579" s="13">
        <v>9</v>
      </c>
      <c r="J1579" s="13">
        <v>7</v>
      </c>
      <c r="K1579" s="14" t="str">
        <f t="shared" si="322"/>
        <v>Twitter Web Client</v>
      </c>
      <c r="L1579" s="13">
        <v>1953</v>
      </c>
      <c r="M1579" s="13">
        <v>1977</v>
      </c>
      <c r="N1579" s="13">
        <v>10</v>
      </c>
      <c r="O1579" s="15"/>
      <c r="P1579" s="6">
        <v>43114.384884259256</v>
      </c>
      <c r="Q1579" s="16" t="s">
        <v>37</v>
      </c>
      <c r="R1579" s="17" t="s">
        <v>314</v>
      </c>
      <c r="S1579" s="11" t="s">
        <v>315</v>
      </c>
      <c r="T1579" s="12"/>
      <c r="U1579" s="10" t="str">
        <f>HYPERLINK("https://pbs.twimg.com/profile_images/952459031083397120/u6DBThkF.jpg","View")</f>
        <v>View</v>
      </c>
    </row>
    <row r="1580" spans="1:21" ht="30.6">
      <c r="A1580" s="6">
        <v>43425.370648148149</v>
      </c>
      <c r="B1580" s="7" t="str">
        <f>HYPERLINK("https://twitter.com/HoyPorHoy","@HoyPorHoy")</f>
        <v>@HoyPorHoy</v>
      </c>
      <c r="C1580" s="8" t="s">
        <v>3868</v>
      </c>
      <c r="D1580" s="9" t="s">
        <v>3869</v>
      </c>
      <c r="E1580" s="10" t="str">
        <f>HYPERLINK("https://twitter.com/HoyPorHoy/status/1065151259861106689","1065151259861106689")</f>
        <v>1065151259861106689</v>
      </c>
      <c r="F1580" s="11" t="s">
        <v>3872</v>
      </c>
      <c r="G1580" s="11" t="s">
        <v>3873</v>
      </c>
      <c r="H1580" s="12"/>
      <c r="I1580" s="13">
        <v>5</v>
      </c>
      <c r="J1580" s="13">
        <v>15</v>
      </c>
      <c r="K1580" s="14" t="str">
        <f>HYPERLINK("http://snappytv.com","SnappyTV.com")</f>
        <v>SnappyTV.com</v>
      </c>
      <c r="L1580" s="13">
        <v>151240</v>
      </c>
      <c r="M1580" s="13">
        <v>547</v>
      </c>
      <c r="N1580" s="13">
        <v>1950</v>
      </c>
      <c r="O1580" s="18" t="s">
        <v>36</v>
      </c>
      <c r="P1580" s="6">
        <v>40524.8125</v>
      </c>
      <c r="Q1580" s="16" t="s">
        <v>3875</v>
      </c>
      <c r="R1580" s="17" t="s">
        <v>3876</v>
      </c>
      <c r="S1580" s="11" t="s">
        <v>3877</v>
      </c>
      <c r="T1580" s="12"/>
      <c r="U1580" s="10" t="str">
        <f>HYPERLINK("https://pbs.twimg.com/profile_images/1048055720007163905/tEd_7iXy.jpg","View")</f>
        <v>View</v>
      </c>
    </row>
    <row r="1581" spans="1:21" ht="51">
      <c r="A1581" s="6">
        <v>43425.370416666672</v>
      </c>
      <c r="B1581" s="7" t="str">
        <f>HYPERLINK("https://twitter.com/juluniver","@juluniver")</f>
        <v>@juluniver</v>
      </c>
      <c r="C1581" s="8" t="s">
        <v>368</v>
      </c>
      <c r="D1581" s="9" t="s">
        <v>3880</v>
      </c>
      <c r="E1581" s="10" t="str">
        <f>HYPERLINK("https://twitter.com/juluniver/status/1065151177589960704","1065151177589960704")</f>
        <v>1065151177589960704</v>
      </c>
      <c r="F1581" s="12"/>
      <c r="G1581" s="12"/>
      <c r="H1581" s="12"/>
      <c r="I1581" s="13">
        <v>0</v>
      </c>
      <c r="J1581" s="13">
        <v>0</v>
      </c>
      <c r="K1581" s="14" t="str">
        <f>HYPERLINK("http://twitter.com/download/android","Twitter for Android")</f>
        <v>Twitter for Android</v>
      </c>
      <c r="L1581" s="13">
        <v>143</v>
      </c>
      <c r="M1581" s="13">
        <v>91</v>
      </c>
      <c r="N1581" s="13">
        <v>2</v>
      </c>
      <c r="O1581" s="15"/>
      <c r="P1581" s="6">
        <v>42166.543541666666</v>
      </c>
      <c r="Q1581" s="16" t="s">
        <v>371</v>
      </c>
      <c r="R1581" s="17" t="s">
        <v>372</v>
      </c>
      <c r="S1581" s="12"/>
      <c r="T1581" s="12"/>
      <c r="U1581" s="10" t="str">
        <f>HYPERLINK("https://pbs.twimg.com/profile_images/847880241892777992/Krxx7fp-.jpg","View")</f>
        <v>View</v>
      </c>
    </row>
    <row r="1582" spans="1:21" ht="61.2">
      <c r="A1582" s="6">
        <v>43425.370254629626</v>
      </c>
      <c r="B1582" s="7" t="str">
        <f>HYPERLINK("https://twitter.com/Keridamadrastra","@Keridamadrastra")</f>
        <v>@Keridamadrastra</v>
      </c>
      <c r="C1582" s="8" t="s">
        <v>1931</v>
      </c>
      <c r="D1582" s="9" t="s">
        <v>3881</v>
      </c>
      <c r="E1582" s="10" t="str">
        <f>HYPERLINK("https://twitter.com/Keridamadrastra/status/1065151118198616064","1065151118198616064")</f>
        <v>1065151118198616064</v>
      </c>
      <c r="F1582" s="16" t="s">
        <v>3882</v>
      </c>
      <c r="G1582" s="11" t="s">
        <v>3884</v>
      </c>
      <c r="H1582" s="12"/>
      <c r="I1582" s="13">
        <v>5</v>
      </c>
      <c r="J1582" s="13">
        <v>6</v>
      </c>
      <c r="K1582" s="14" t="str">
        <f>HYPERLINK("http://twitter.com","Twitter Web Client")</f>
        <v>Twitter Web Client</v>
      </c>
      <c r="L1582" s="13">
        <v>260</v>
      </c>
      <c r="M1582" s="13">
        <v>1407</v>
      </c>
      <c r="N1582" s="13">
        <v>0</v>
      </c>
      <c r="O1582" s="15"/>
      <c r="P1582" s="6">
        <v>42725.514004629629</v>
      </c>
      <c r="Q1582" s="12"/>
      <c r="R1582" s="19"/>
      <c r="S1582" s="12"/>
      <c r="T1582" s="12"/>
      <c r="U1582" s="10" t="str">
        <f>HYPERLINK("https://pbs.twimg.com/profile_images/811542389248630784/-euSetq6.jpg","View")</f>
        <v>View</v>
      </c>
    </row>
    <row r="1583" spans="1:21" ht="30.6">
      <c r="A1583" s="6">
        <v>43425.37023148148</v>
      </c>
      <c r="B1583" s="7" t="str">
        <f>HYPERLINK("https://twitter.com/SergioSariegu","@SergioSariegu")</f>
        <v>@SergioSariegu</v>
      </c>
      <c r="C1583" s="8" t="s">
        <v>3854</v>
      </c>
      <c r="D1583" s="9" t="s">
        <v>3888</v>
      </c>
      <c r="E1583" s="10" t="str">
        <f>HYPERLINK("https://twitter.com/SergioSariegu/status/1065151106517471232","1065151106517471232")</f>
        <v>1065151106517471232</v>
      </c>
      <c r="F1583" s="12"/>
      <c r="G1583" s="12"/>
      <c r="H1583" s="12"/>
      <c r="I1583" s="13">
        <v>0</v>
      </c>
      <c r="J1583" s="13">
        <v>0</v>
      </c>
      <c r="K1583" s="14" t="str">
        <f t="shared" ref="K1583:K1585" si="323">HYPERLINK("http://twitter.com/download/android","Twitter for Android")</f>
        <v>Twitter for Android</v>
      </c>
      <c r="L1583" s="13">
        <v>2020</v>
      </c>
      <c r="M1583" s="13">
        <v>1339</v>
      </c>
      <c r="N1583" s="13">
        <v>45</v>
      </c>
      <c r="O1583" s="15"/>
      <c r="P1583" s="6">
        <v>40387.744780092595</v>
      </c>
      <c r="Q1583" s="16" t="s">
        <v>3856</v>
      </c>
      <c r="R1583" s="17" t="s">
        <v>3857</v>
      </c>
      <c r="S1583" s="11" t="s">
        <v>3858</v>
      </c>
      <c r="T1583" s="12"/>
      <c r="U1583" s="10" t="str">
        <f>HYPERLINK("https://pbs.twimg.com/profile_images/992128325857501190/FjkObOtL.jpg","View")</f>
        <v>View</v>
      </c>
    </row>
    <row r="1584" spans="1:21" ht="40.799999999999997">
      <c r="A1584" s="6">
        <v>43425.370081018518</v>
      </c>
      <c r="B1584" s="7" t="str">
        <f>HYPERLINK("https://twitter.com/PardoSalud","@PardoSalud")</f>
        <v>@PardoSalud</v>
      </c>
      <c r="C1584" s="8" t="s">
        <v>6819</v>
      </c>
      <c r="D1584" s="9" t="s">
        <v>6820</v>
      </c>
      <c r="E1584" s="10" t="str">
        <f>HYPERLINK("https://twitter.com/PardoSalud/status/1065151052968800257","1065151052968800257")</f>
        <v>1065151052968800257</v>
      </c>
      <c r="F1584" s="12"/>
      <c r="G1584" s="12"/>
      <c r="H1584" s="12"/>
      <c r="I1584" s="13">
        <v>0</v>
      </c>
      <c r="J1584" s="13">
        <v>0</v>
      </c>
      <c r="K1584" s="14" t="str">
        <f t="shared" si="323"/>
        <v>Twitter for Android</v>
      </c>
      <c r="L1584" s="13">
        <v>3012</v>
      </c>
      <c r="M1584" s="13">
        <v>3189</v>
      </c>
      <c r="N1584" s="13">
        <v>38</v>
      </c>
      <c r="O1584" s="15"/>
      <c r="P1584" s="6">
        <v>41318.853726851856</v>
      </c>
      <c r="Q1584" s="12"/>
      <c r="R1584" s="17" t="s">
        <v>6821</v>
      </c>
      <c r="S1584" s="11" t="s">
        <v>6822</v>
      </c>
      <c r="T1584" s="12"/>
      <c r="U1584" s="10" t="str">
        <f>HYPERLINK("https://pbs.twimg.com/profile_images/598801310771748864/k8RKUqUO.jpg","View")</f>
        <v>View</v>
      </c>
    </row>
    <row r="1585" spans="1:21" ht="40.799999999999997">
      <c r="A1585" s="6">
        <v>43425.369988425926</v>
      </c>
      <c r="B1585" s="7" t="str">
        <f>HYPERLINK("https://twitter.com/OLingoreteiro","@OLingoreteiro")</f>
        <v>@OLingoreteiro</v>
      </c>
      <c r="C1585" s="8" t="s">
        <v>3892</v>
      </c>
      <c r="D1585" s="9" t="s">
        <v>3893</v>
      </c>
      <c r="E1585" s="10" t="str">
        <f>HYPERLINK("https://twitter.com/OLingoreteiro/status/1065151021947781121","1065151021947781121")</f>
        <v>1065151021947781121</v>
      </c>
      <c r="F1585" s="12"/>
      <c r="G1585" s="12"/>
      <c r="H1585" s="12"/>
      <c r="I1585" s="13">
        <v>2</v>
      </c>
      <c r="J1585" s="13">
        <v>3</v>
      </c>
      <c r="K1585" s="14" t="str">
        <f t="shared" si="323"/>
        <v>Twitter for Android</v>
      </c>
      <c r="L1585" s="13">
        <v>119</v>
      </c>
      <c r="M1585" s="13">
        <v>243</v>
      </c>
      <c r="N1585" s="13">
        <v>1</v>
      </c>
      <c r="O1585" s="15"/>
      <c r="P1585" s="6">
        <v>43182.04078703704</v>
      </c>
      <c r="Q1585" s="16" t="s">
        <v>3894</v>
      </c>
      <c r="R1585" s="17" t="s">
        <v>3895</v>
      </c>
      <c r="S1585" s="12"/>
      <c r="T1585" s="12"/>
      <c r="U1585" s="10" t="str">
        <f>HYPERLINK("https://pbs.twimg.com/profile_images/999315352113709056/eEtT32zI.jpg","View")</f>
        <v>View</v>
      </c>
    </row>
    <row r="1586" spans="1:21" ht="51">
      <c r="A1586" s="6">
        <v>43425.369884259257</v>
      </c>
      <c r="B1586" s="7" t="str">
        <f>HYPERLINK("https://twitter.com/dbollero","@dbollero")</f>
        <v>@dbollero</v>
      </c>
      <c r="C1586" s="8" t="s">
        <v>3896</v>
      </c>
      <c r="D1586" s="9" t="s">
        <v>3897</v>
      </c>
      <c r="E1586" s="10" t="str">
        <f>HYPERLINK("https://twitter.com/dbollero/status/1065150983733485569","1065150983733485569")</f>
        <v>1065150983733485569</v>
      </c>
      <c r="F1586" s="12"/>
      <c r="G1586" s="12"/>
      <c r="H1586" s="12"/>
      <c r="I1586" s="13">
        <v>6</v>
      </c>
      <c r="J1586" s="13">
        <v>2</v>
      </c>
      <c r="K1586" s="14" t="str">
        <f>HYPERLINK("http://twitter.com","Twitter Web Client")</f>
        <v>Twitter Web Client</v>
      </c>
      <c r="L1586" s="13">
        <v>6057</v>
      </c>
      <c r="M1586" s="13">
        <v>1138</v>
      </c>
      <c r="N1586" s="13">
        <v>222</v>
      </c>
      <c r="O1586" s="15"/>
      <c r="P1586" s="6">
        <v>40226.403553240743</v>
      </c>
      <c r="Q1586" s="16" t="s">
        <v>2751</v>
      </c>
      <c r="R1586" s="17" t="s">
        <v>3898</v>
      </c>
      <c r="S1586" s="11" t="s">
        <v>3899</v>
      </c>
      <c r="T1586" s="12"/>
      <c r="U1586" s="10" t="str">
        <f>HYPERLINK("https://pbs.twimg.com/profile_images/378800000672616474/3ad1883c99d4954ff4e7752d56c02337.jpeg","View")</f>
        <v>View</v>
      </c>
    </row>
    <row r="1587" spans="1:21" ht="40.799999999999997">
      <c r="A1587" s="6">
        <v>43425.369710648149</v>
      </c>
      <c r="B1587" s="7" t="str">
        <f>HYPERLINK("https://twitter.com/GuilleYiyi","@GuilleYiyi")</f>
        <v>@GuilleYiyi</v>
      </c>
      <c r="C1587" s="8" t="s">
        <v>6823</v>
      </c>
      <c r="D1587" s="9" t="s">
        <v>6824</v>
      </c>
      <c r="E1587" s="10" t="str">
        <f>HYPERLINK("https://twitter.com/GuilleYiyi/status/1065150918461743105","1065150918461743105")</f>
        <v>1065150918461743105</v>
      </c>
      <c r="F1587" s="12"/>
      <c r="G1587" s="12"/>
      <c r="H1587" s="12"/>
      <c r="I1587" s="13">
        <v>0</v>
      </c>
      <c r="J1587" s="13">
        <v>0</v>
      </c>
      <c r="K1587" s="14" t="str">
        <f>HYPERLINK("http://twitter.com/download/android","Twitter for Android")</f>
        <v>Twitter for Android</v>
      </c>
      <c r="L1587" s="13">
        <v>494</v>
      </c>
      <c r="M1587" s="13">
        <v>476</v>
      </c>
      <c r="N1587" s="13">
        <v>5</v>
      </c>
      <c r="O1587" s="15"/>
      <c r="P1587" s="6">
        <v>40743.682245370372</v>
      </c>
      <c r="Q1587" s="16" t="s">
        <v>6825</v>
      </c>
      <c r="R1587" s="17" t="s">
        <v>6826</v>
      </c>
      <c r="S1587" s="11" t="s">
        <v>6827</v>
      </c>
      <c r="T1587" s="12"/>
      <c r="U1587" s="10" t="str">
        <f>HYPERLINK("https://pbs.twimg.com/profile_images/1065598510727405568/K_W4ciiU.jpg","View")</f>
        <v>View</v>
      </c>
    </row>
    <row r="1588" spans="1:21" ht="30.6">
      <c r="A1588" s="6">
        <v>43425.369479166664</v>
      </c>
      <c r="B1588" s="7" t="str">
        <f>HYPERLINK("https://twitter.com/MAGuisado","@MAGuisado")</f>
        <v>@MAGuisado</v>
      </c>
      <c r="C1588" s="8" t="s">
        <v>3903</v>
      </c>
      <c r="D1588" s="9" t="s">
        <v>3904</v>
      </c>
      <c r="E1588" s="10" t="str">
        <f>HYPERLINK("https://twitter.com/MAGuisado/status/1065150834894348289","1065150834894348289")</f>
        <v>1065150834894348289</v>
      </c>
      <c r="F1588" s="12"/>
      <c r="G1588" s="12"/>
      <c r="H1588" s="12"/>
      <c r="I1588" s="13">
        <v>0</v>
      </c>
      <c r="J1588" s="13">
        <v>3</v>
      </c>
      <c r="K1588" s="14" t="str">
        <f>HYPERLINK("http://twitter.com/download/iphone","Twitter for iPhone")</f>
        <v>Twitter for iPhone</v>
      </c>
      <c r="L1588" s="13">
        <v>2257</v>
      </c>
      <c r="M1588" s="13">
        <v>2693</v>
      </c>
      <c r="N1588" s="13">
        <v>72</v>
      </c>
      <c r="O1588" s="15"/>
      <c r="P1588" s="6">
        <v>40585.108958333338</v>
      </c>
      <c r="Q1588" s="16" t="s">
        <v>3906</v>
      </c>
      <c r="R1588" s="17" t="s">
        <v>3907</v>
      </c>
      <c r="S1588" s="11" t="s">
        <v>3908</v>
      </c>
      <c r="T1588" s="12"/>
      <c r="U1588" s="10" t="str">
        <f>HYPERLINK("https://pbs.twimg.com/profile_images/1033263092115927040/XzK8u-EJ.jpg","View")</f>
        <v>View</v>
      </c>
    </row>
    <row r="1589" spans="1:21" ht="30.6">
      <c r="A1589" s="6">
        <v>43425.368969907402</v>
      </c>
      <c r="B1589" s="7" t="str">
        <f>HYPERLINK("https://twitter.com/m_pais","@m_pais")</f>
        <v>@m_pais</v>
      </c>
      <c r="C1589" s="8" t="s">
        <v>3911</v>
      </c>
      <c r="D1589" s="9" t="s">
        <v>3912</v>
      </c>
      <c r="E1589" s="10" t="str">
        <f>HYPERLINK("https://twitter.com/m_pais/status/1065150651599134720","1065150651599134720")</f>
        <v>1065150651599134720</v>
      </c>
      <c r="F1589" s="12"/>
      <c r="G1589" s="12"/>
      <c r="H1589" s="12"/>
      <c r="I1589" s="13">
        <v>7</v>
      </c>
      <c r="J1589" s="13">
        <v>17</v>
      </c>
      <c r="K1589" s="14" t="str">
        <f>HYPERLINK("http://twitter.com","Twitter Web Client")</f>
        <v>Twitter Web Client</v>
      </c>
      <c r="L1589" s="13">
        <v>3463</v>
      </c>
      <c r="M1589" s="13">
        <v>1246</v>
      </c>
      <c r="N1589" s="13">
        <v>93</v>
      </c>
      <c r="O1589" s="15"/>
      <c r="P1589" s="6">
        <v>40232.773101851853</v>
      </c>
      <c r="Q1589" s="16" t="s">
        <v>3916</v>
      </c>
      <c r="R1589" s="17" t="s">
        <v>3917</v>
      </c>
      <c r="S1589" s="12"/>
      <c r="T1589" s="12"/>
      <c r="U1589" s="10" t="str">
        <f>HYPERLINK("https://pbs.twimg.com/profile_images/999218605047754753/Mc9d8D55.jpg","View")</f>
        <v>View</v>
      </c>
    </row>
    <row r="1590" spans="1:21" ht="40.799999999999997">
      <c r="A1590" s="6">
        <v>43425.368796296301</v>
      </c>
      <c r="B1590" s="7" t="str">
        <f>HYPERLINK("https://twitter.com/alfbenito","@alfbenito")</f>
        <v>@alfbenito</v>
      </c>
      <c r="C1590" s="8" t="s">
        <v>3918</v>
      </c>
      <c r="D1590" s="9" t="s">
        <v>3919</v>
      </c>
      <c r="E1590" s="10" t="str">
        <f>HYPERLINK("https://twitter.com/alfbenito/status/1065150586503512064","1065150586503512064")</f>
        <v>1065150586503512064</v>
      </c>
      <c r="F1590" s="12"/>
      <c r="G1590" s="12"/>
      <c r="H1590" s="12"/>
      <c r="I1590" s="13">
        <v>1</v>
      </c>
      <c r="J1590" s="13">
        <v>2</v>
      </c>
      <c r="K1590" s="14" t="str">
        <f t="shared" ref="K1590:K1591" si="324">HYPERLINK("http://twitter.com/download/iphone","Twitter for iPhone")</f>
        <v>Twitter for iPhone</v>
      </c>
      <c r="L1590" s="13">
        <v>491</v>
      </c>
      <c r="M1590" s="13">
        <v>428</v>
      </c>
      <c r="N1590" s="13">
        <v>43</v>
      </c>
      <c r="O1590" s="15"/>
      <c r="P1590" s="6">
        <v>40593.043564814812</v>
      </c>
      <c r="Q1590" s="16" t="s">
        <v>3920</v>
      </c>
      <c r="R1590" s="17" t="s">
        <v>3921</v>
      </c>
      <c r="S1590" s="12"/>
      <c r="T1590" s="12"/>
      <c r="U1590" s="10" t="str">
        <f>HYPERLINK("https://pbs.twimg.com/profile_images/521682279496572928/1NOkc_UK.jpeg","View")</f>
        <v>View</v>
      </c>
    </row>
    <row r="1591" spans="1:21" ht="40.799999999999997">
      <c r="A1591" s="6">
        <v>43425.368715277778</v>
      </c>
      <c r="B1591" s="7" t="str">
        <f>HYPERLINK("https://twitter.com/ConsuG64","@ConsuG64")</f>
        <v>@ConsuG64</v>
      </c>
      <c r="C1591" s="8" t="s">
        <v>3922</v>
      </c>
      <c r="D1591" s="9" t="s">
        <v>3924</v>
      </c>
      <c r="E1591" s="10" t="str">
        <f>HYPERLINK("https://twitter.com/ConsuG64/status/1065150560154861568","1065150560154861568")</f>
        <v>1065150560154861568</v>
      </c>
      <c r="F1591" s="12"/>
      <c r="G1591" s="12"/>
      <c r="H1591" s="12"/>
      <c r="I1591" s="13">
        <v>0</v>
      </c>
      <c r="J1591" s="13">
        <v>0</v>
      </c>
      <c r="K1591" s="14" t="str">
        <f t="shared" si="324"/>
        <v>Twitter for iPhone</v>
      </c>
      <c r="L1591" s="13">
        <v>2793</v>
      </c>
      <c r="M1591" s="13">
        <v>1965</v>
      </c>
      <c r="N1591" s="13">
        <v>22</v>
      </c>
      <c r="O1591" s="15"/>
      <c r="P1591" s="6">
        <v>40612.874768518523</v>
      </c>
      <c r="Q1591" s="16" t="s">
        <v>3926</v>
      </c>
      <c r="R1591" s="17" t="s">
        <v>3927</v>
      </c>
      <c r="S1591" s="11" t="s">
        <v>3928</v>
      </c>
      <c r="T1591" s="12"/>
      <c r="U1591" s="10" t="str">
        <f>HYPERLINK("https://pbs.twimg.com/profile_images/1054046008735420417/OmdbLQcI.jpg","View")</f>
        <v>View</v>
      </c>
    </row>
    <row r="1592" spans="1:21" ht="51">
      <c r="A1592" s="6">
        <v>43425.368634259255</v>
      </c>
      <c r="B1592" s="7" t="str">
        <f>HYPERLINK("https://twitter.com/compromtido22","@compromtido22")</f>
        <v>@compromtido22</v>
      </c>
      <c r="C1592" s="8" t="s">
        <v>1719</v>
      </c>
      <c r="D1592" s="9" t="s">
        <v>6828</v>
      </c>
      <c r="E1592" s="10" t="str">
        <f>HYPERLINK("https://twitter.com/compromtido22/status/1065150529725218816","1065150529725218816")</f>
        <v>1065150529725218816</v>
      </c>
      <c r="F1592" s="11" t="s">
        <v>6829</v>
      </c>
      <c r="G1592" s="11" t="s">
        <v>6830</v>
      </c>
      <c r="H1592" s="12"/>
      <c r="I1592" s="13">
        <v>0</v>
      </c>
      <c r="J1592" s="13">
        <v>0</v>
      </c>
      <c r="K1592" s="14" t="str">
        <f>HYPERLINK("http://twitter.com/download/android","Twitter for Android")</f>
        <v>Twitter for Android</v>
      </c>
      <c r="L1592" s="13">
        <v>962</v>
      </c>
      <c r="M1592" s="13">
        <v>859</v>
      </c>
      <c r="N1592" s="13">
        <v>15</v>
      </c>
      <c r="O1592" s="15"/>
      <c r="P1592" s="6">
        <v>42411.832291666666</v>
      </c>
      <c r="Q1592" s="12"/>
      <c r="R1592" s="17" t="s">
        <v>1722</v>
      </c>
      <c r="S1592" s="12"/>
      <c r="T1592" s="12"/>
      <c r="U1592" s="10" t="str">
        <f>HYPERLINK("https://pbs.twimg.com/profile_images/1062806370267860993/RfSkyzB-.jpg","View")</f>
        <v>View</v>
      </c>
    </row>
    <row r="1593" spans="1:21" ht="40.799999999999997">
      <c r="A1593" s="6">
        <v>43425.36855324074</v>
      </c>
      <c r="B1593" s="7" t="str">
        <f>HYPERLINK("https://twitter.com/JCespinosap","@JCespinosap")</f>
        <v>@JCespinosap</v>
      </c>
      <c r="C1593" s="8" t="s">
        <v>3929</v>
      </c>
      <c r="D1593" s="9" t="s">
        <v>3930</v>
      </c>
      <c r="E1593" s="10" t="str">
        <f>HYPERLINK("https://twitter.com/JCespinosap/status/1065150502437101569","1065150502437101569")</f>
        <v>1065150502437101569</v>
      </c>
      <c r="F1593" s="12"/>
      <c r="G1593" s="12"/>
      <c r="H1593" s="12"/>
      <c r="I1593" s="13">
        <v>0</v>
      </c>
      <c r="J1593" s="13">
        <v>1</v>
      </c>
      <c r="K1593" s="14" t="str">
        <f>HYPERLINK("http://twitter.com","Twitter Web Client")</f>
        <v>Twitter Web Client</v>
      </c>
      <c r="L1593" s="13">
        <v>682</v>
      </c>
      <c r="M1593" s="13">
        <v>2420</v>
      </c>
      <c r="N1593" s="13">
        <v>6</v>
      </c>
      <c r="O1593" s="15"/>
      <c r="P1593" s="6">
        <v>40202.908032407409</v>
      </c>
      <c r="Q1593" s="16" t="s">
        <v>440</v>
      </c>
      <c r="R1593" s="17" t="s">
        <v>3931</v>
      </c>
      <c r="S1593" s="11" t="s">
        <v>3932</v>
      </c>
      <c r="T1593" s="12"/>
      <c r="U1593" s="10" t="str">
        <f>HYPERLINK("https://pbs.twimg.com/profile_images/953657054903676928/1x1THIgv.jpg","View")</f>
        <v>View</v>
      </c>
    </row>
    <row r="1594" spans="1:21" ht="51">
      <c r="A1594" s="6">
        <v>43425.368472222224</v>
      </c>
      <c r="B1594" s="7" t="str">
        <f>HYPERLINK("https://twitter.com/claudia_chvl","@claudia_chvl")</f>
        <v>@claudia_chvl</v>
      </c>
      <c r="C1594" s="8" t="s">
        <v>3935</v>
      </c>
      <c r="D1594" s="9" t="s">
        <v>3936</v>
      </c>
      <c r="E1594" s="10" t="str">
        <f>HYPERLINK("https://twitter.com/claudia_chvl/status/1065150473005670400","1065150473005670400")</f>
        <v>1065150473005670400</v>
      </c>
      <c r="F1594" s="12"/>
      <c r="G1594" s="12"/>
      <c r="H1594" s="12"/>
      <c r="I1594" s="13">
        <v>0</v>
      </c>
      <c r="J1594" s="13">
        <v>1</v>
      </c>
      <c r="K1594" s="14" t="str">
        <f t="shared" ref="K1594:K1595" si="325">HYPERLINK("http://twitter.com/download/iphone","Twitter for iPhone")</f>
        <v>Twitter for iPhone</v>
      </c>
      <c r="L1594" s="13">
        <v>777</v>
      </c>
      <c r="M1594" s="13">
        <v>1096</v>
      </c>
      <c r="N1594" s="13">
        <v>9</v>
      </c>
      <c r="O1594" s="15"/>
      <c r="P1594" s="6">
        <v>40657.040509259255</v>
      </c>
      <c r="Q1594" s="16" t="s">
        <v>3939</v>
      </c>
      <c r="R1594" s="17" t="s">
        <v>3941</v>
      </c>
      <c r="S1594" s="12"/>
      <c r="T1594" s="12"/>
      <c r="U1594" s="10" t="str">
        <f>HYPERLINK("https://pbs.twimg.com/profile_images/977994888489947137/EvHAhiSv.jpg","View")</f>
        <v>View</v>
      </c>
    </row>
    <row r="1595" spans="1:21" ht="40.799999999999997">
      <c r="A1595" s="6">
        <v>43425.368136574078</v>
      </c>
      <c r="B1595" s="7" t="str">
        <f>HYPERLINK("https://twitter.com/layeyedeparla","@layeyedeparla")</f>
        <v>@layeyedeparla</v>
      </c>
      <c r="C1595" s="8" t="s">
        <v>6831</v>
      </c>
      <c r="D1595" s="9" t="s">
        <v>6832</v>
      </c>
      <c r="E1595" s="10" t="str">
        <f>HYPERLINK("https://twitter.com/layeyedeparla/status/1065150348342513664","1065150348342513664")</f>
        <v>1065150348342513664</v>
      </c>
      <c r="F1595" s="12"/>
      <c r="G1595" s="12"/>
      <c r="H1595" s="12"/>
      <c r="I1595" s="13">
        <v>0</v>
      </c>
      <c r="J1595" s="13">
        <v>0</v>
      </c>
      <c r="K1595" s="14" t="str">
        <f t="shared" si="325"/>
        <v>Twitter for iPhone</v>
      </c>
      <c r="L1595" s="13">
        <v>622</v>
      </c>
      <c r="M1595" s="13">
        <v>1053</v>
      </c>
      <c r="N1595" s="13">
        <v>10</v>
      </c>
      <c r="O1595" s="15"/>
      <c r="P1595" s="6">
        <v>41048.681493055556</v>
      </c>
      <c r="Q1595" s="12"/>
      <c r="R1595" s="19"/>
      <c r="S1595" s="12"/>
      <c r="T1595" s="12"/>
      <c r="U1595" s="10" t="str">
        <f>HYPERLINK("https://pbs.twimg.com/profile_images/652910923707994113/LUbAKSPB.jpg","View")</f>
        <v>View</v>
      </c>
    </row>
    <row r="1596" spans="1:21" ht="51">
      <c r="A1596" s="6">
        <v>43425.36782407407</v>
      </c>
      <c r="B1596" s="7" t="str">
        <f>HYPERLINK("https://twitter.com/Yo_Soy_Asin","@Yo_Soy_Asin")</f>
        <v>@Yo_Soy_Asin</v>
      </c>
      <c r="C1596" s="8" t="s">
        <v>2005</v>
      </c>
      <c r="D1596" s="9" t="s">
        <v>3943</v>
      </c>
      <c r="E1596" s="10" t="str">
        <f>HYPERLINK("https://twitter.com/Yo_Soy_Asin/status/1065150237457743872","1065150237457743872")</f>
        <v>1065150237457743872</v>
      </c>
      <c r="F1596" s="12"/>
      <c r="G1596" s="12"/>
      <c r="H1596" s="12"/>
      <c r="I1596" s="13">
        <v>64</v>
      </c>
      <c r="J1596" s="13">
        <v>38</v>
      </c>
      <c r="K1596" s="14" t="str">
        <f>HYPERLINK("http://twitter.com/download/android","Twitter for Android")</f>
        <v>Twitter for Android</v>
      </c>
      <c r="L1596" s="13">
        <v>31333</v>
      </c>
      <c r="M1596" s="13">
        <v>8272</v>
      </c>
      <c r="N1596" s="13">
        <v>305</v>
      </c>
      <c r="O1596" s="15"/>
      <c r="P1596" s="6">
        <v>41967.764976851853</v>
      </c>
      <c r="Q1596" s="16" t="s">
        <v>2008</v>
      </c>
      <c r="R1596" s="17" t="s">
        <v>2009</v>
      </c>
      <c r="S1596" s="12"/>
      <c r="T1596" s="12"/>
      <c r="U1596" s="10" t="str">
        <f>HYPERLINK("https://pbs.twimg.com/profile_images/1048246938641059840/dCLHzACC.jpg","View")</f>
        <v>View</v>
      </c>
    </row>
    <row r="1597" spans="1:21" ht="30.6">
      <c r="A1597" s="6">
        <v>43425.3675</v>
      </c>
      <c r="B1597" s="7" t="str">
        <f>HYPERLINK("https://twitter.com/HoyPorHoy","@HoyPorHoy")</f>
        <v>@HoyPorHoy</v>
      </c>
      <c r="C1597" s="8" t="s">
        <v>3868</v>
      </c>
      <c r="D1597" s="9" t="s">
        <v>3949</v>
      </c>
      <c r="E1597" s="10" t="str">
        <f>HYPERLINK("https://twitter.com/HoyPorHoy/status/1065150119555719168","1065150119555719168")</f>
        <v>1065150119555719168</v>
      </c>
      <c r="F1597" s="11" t="s">
        <v>3872</v>
      </c>
      <c r="G1597" s="11" t="s">
        <v>3951</v>
      </c>
      <c r="H1597" s="12"/>
      <c r="I1597" s="13">
        <v>6</v>
      </c>
      <c r="J1597" s="13">
        <v>9</v>
      </c>
      <c r="K1597" s="14" t="str">
        <f>HYPERLINK("http://snappytv.com","SnappyTV.com")</f>
        <v>SnappyTV.com</v>
      </c>
      <c r="L1597" s="13">
        <v>151240</v>
      </c>
      <c r="M1597" s="13">
        <v>547</v>
      </c>
      <c r="N1597" s="13">
        <v>1950</v>
      </c>
      <c r="O1597" s="18" t="s">
        <v>36</v>
      </c>
      <c r="P1597" s="6">
        <v>40524.8125</v>
      </c>
      <c r="Q1597" s="16" t="s">
        <v>3875</v>
      </c>
      <c r="R1597" s="17" t="s">
        <v>3876</v>
      </c>
      <c r="S1597" s="11" t="s">
        <v>3877</v>
      </c>
      <c r="T1597" s="12"/>
      <c r="U1597" s="10" t="str">
        <f>HYPERLINK("https://pbs.twimg.com/profile_images/1048055720007163905/tEd_7iXy.jpg","View")</f>
        <v>View</v>
      </c>
    </row>
    <row r="1598" spans="1:21" ht="20.399999999999999">
      <c r="A1598" s="6">
        <v>43425.367418981477</v>
      </c>
      <c r="B1598" s="7" t="str">
        <f>HYPERLINK("https://twitter.com/Juan_MCal","@Juan_MCal")</f>
        <v>@Juan_MCal</v>
      </c>
      <c r="C1598" s="8" t="s">
        <v>6833</v>
      </c>
      <c r="D1598" s="9" t="s">
        <v>6834</v>
      </c>
      <c r="E1598" s="10" t="str">
        <f>HYPERLINK("https://twitter.com/Juan_MCal/status/1065150087322615808","1065150087322615808")</f>
        <v>1065150087322615808</v>
      </c>
      <c r="F1598" s="12"/>
      <c r="G1598" s="12"/>
      <c r="H1598" s="12"/>
      <c r="I1598" s="13">
        <v>0</v>
      </c>
      <c r="J1598" s="13">
        <v>0</v>
      </c>
      <c r="K1598" s="14" t="str">
        <f t="shared" ref="K1598:K1600" si="326">HYPERLINK("http://twitter.com/download/android","Twitter for Android")</f>
        <v>Twitter for Android</v>
      </c>
      <c r="L1598" s="13">
        <v>214</v>
      </c>
      <c r="M1598" s="13">
        <v>511</v>
      </c>
      <c r="N1598" s="13">
        <v>1</v>
      </c>
      <c r="O1598" s="15"/>
      <c r="P1598" s="6">
        <v>42606.83756944444</v>
      </c>
      <c r="Q1598" s="16" t="s">
        <v>5143</v>
      </c>
      <c r="R1598" s="17" t="s">
        <v>6835</v>
      </c>
      <c r="S1598" s="12"/>
      <c r="T1598" s="12"/>
      <c r="U1598" s="10" t="str">
        <f>HYPERLINK("https://pbs.twimg.com/profile_images/768513201852059649/eAZzv2VY.jpg","View")</f>
        <v>View</v>
      </c>
    </row>
    <row r="1599" spans="1:21" ht="20.399999999999999">
      <c r="A1599" s="6">
        <v>43425.367245370369</v>
      </c>
      <c r="B1599" s="7" t="str">
        <f>HYPERLINK("https://twitter.com/uby77","@uby77")</f>
        <v>@uby77</v>
      </c>
      <c r="C1599" s="8" t="s">
        <v>6836</v>
      </c>
      <c r="D1599" s="9" t="s">
        <v>6837</v>
      </c>
      <c r="E1599" s="10" t="str">
        <f>HYPERLINK("https://twitter.com/uby77/status/1065150025716719616","1065150025716719616")</f>
        <v>1065150025716719616</v>
      </c>
      <c r="F1599" s="12"/>
      <c r="G1599" s="12"/>
      <c r="H1599" s="12"/>
      <c r="I1599" s="13">
        <v>0</v>
      </c>
      <c r="J1599" s="13">
        <v>0</v>
      </c>
      <c r="K1599" s="14" t="str">
        <f t="shared" si="326"/>
        <v>Twitter for Android</v>
      </c>
      <c r="L1599" s="13">
        <v>2496</v>
      </c>
      <c r="M1599" s="13">
        <v>2460</v>
      </c>
      <c r="N1599" s="13">
        <v>35</v>
      </c>
      <c r="O1599" s="15"/>
      <c r="P1599" s="6">
        <v>40520.854143518518</v>
      </c>
      <c r="Q1599" s="16" t="s">
        <v>6838</v>
      </c>
      <c r="R1599" s="17" t="s">
        <v>6839</v>
      </c>
      <c r="S1599" s="12"/>
      <c r="T1599" s="12"/>
      <c r="U1599" s="10" t="str">
        <f>HYPERLINK("https://pbs.twimg.com/profile_images/772800238314807296/-693ozG3.jpg","View")</f>
        <v>View</v>
      </c>
    </row>
    <row r="1600" spans="1:21" ht="30.6">
      <c r="A1600" s="6">
        <v>43425.367002314815</v>
      </c>
      <c r="B1600" s="7" t="str">
        <f>HYPERLINK("https://twitter.com/Diva_roja","@Diva_roja")</f>
        <v>@Diva_roja</v>
      </c>
      <c r="C1600" s="8" t="s">
        <v>6840</v>
      </c>
      <c r="D1600" s="9" t="s">
        <v>6841</v>
      </c>
      <c r="E1600" s="10" t="str">
        <f>HYPERLINK("https://twitter.com/Diva_roja/status/1065149939431415808","1065149939431415808")</f>
        <v>1065149939431415808</v>
      </c>
      <c r="F1600" s="12"/>
      <c r="G1600" s="12"/>
      <c r="H1600" s="12"/>
      <c r="I1600" s="13">
        <v>0</v>
      </c>
      <c r="J1600" s="13">
        <v>2</v>
      </c>
      <c r="K1600" s="14" t="str">
        <f t="shared" si="326"/>
        <v>Twitter for Android</v>
      </c>
      <c r="L1600" s="13">
        <v>668</v>
      </c>
      <c r="M1600" s="13">
        <v>1456</v>
      </c>
      <c r="N1600" s="13">
        <v>38</v>
      </c>
      <c r="O1600" s="15"/>
      <c r="P1600" s="6">
        <v>41448.521053240736</v>
      </c>
      <c r="Q1600" s="16" t="s">
        <v>2853</v>
      </c>
      <c r="R1600" s="17" t="s">
        <v>6842</v>
      </c>
      <c r="S1600" s="11" t="s">
        <v>6843</v>
      </c>
      <c r="T1600" s="12"/>
      <c r="U1600" s="10" t="str">
        <f>HYPERLINK("https://pbs.twimg.com/profile_images/1051580761218969600/Bk18oews.jpg","View")</f>
        <v>View</v>
      </c>
    </row>
    <row r="1601" spans="1:21" ht="30.6">
      <c r="A1601" s="6">
        <v>43425.366909722223</v>
      </c>
      <c r="B1601" s="7" t="str">
        <f>HYPERLINK("https://twitter.com/HoyPorHoy","@HoyPorHoy")</f>
        <v>@HoyPorHoy</v>
      </c>
      <c r="C1601" s="8" t="s">
        <v>3868</v>
      </c>
      <c r="D1601" s="9" t="s">
        <v>3952</v>
      </c>
      <c r="E1601" s="10" t="str">
        <f>HYPERLINK("https://twitter.com/HoyPorHoy/status/1065149903356063744","1065149903356063744")</f>
        <v>1065149903356063744</v>
      </c>
      <c r="F1601" s="11" t="s">
        <v>3297</v>
      </c>
      <c r="G1601" s="11" t="s">
        <v>3953</v>
      </c>
      <c r="H1601" s="12"/>
      <c r="I1601" s="13">
        <v>3</v>
      </c>
      <c r="J1601" s="13">
        <v>4</v>
      </c>
      <c r="K1601" s="14" t="str">
        <f>HYPERLINK("http://snappytv.com","SnappyTV.com")</f>
        <v>SnappyTV.com</v>
      </c>
      <c r="L1601" s="13">
        <v>151240</v>
      </c>
      <c r="M1601" s="13">
        <v>547</v>
      </c>
      <c r="N1601" s="13">
        <v>1950</v>
      </c>
      <c r="O1601" s="18" t="s">
        <v>36</v>
      </c>
      <c r="P1601" s="6">
        <v>40524.8125</v>
      </c>
      <c r="Q1601" s="16" t="s">
        <v>3875</v>
      </c>
      <c r="R1601" s="17" t="s">
        <v>3876</v>
      </c>
      <c r="S1601" s="11" t="s">
        <v>3877</v>
      </c>
      <c r="T1601" s="12"/>
      <c r="U1601" s="10" t="str">
        <f>HYPERLINK("https://pbs.twimg.com/profile_images/1048055720007163905/tEd_7iXy.jpg","View")</f>
        <v>View</v>
      </c>
    </row>
    <row r="1602" spans="1:21" ht="51">
      <c r="A1602" s="6">
        <v>43425.365995370375</v>
      </c>
      <c r="B1602" s="7" t="str">
        <f>HYPERLINK("https://twitter.com/PacoEspiGa","@PacoEspiGa")</f>
        <v>@PacoEspiGa</v>
      </c>
      <c r="C1602" s="8" t="s">
        <v>3956</v>
      </c>
      <c r="D1602" s="9" t="s">
        <v>3957</v>
      </c>
      <c r="E1602" s="10" t="str">
        <f>HYPERLINK("https://twitter.com/PacoEspiGa/status/1065149574757720065","1065149574757720065")</f>
        <v>1065149574757720065</v>
      </c>
      <c r="F1602" s="12"/>
      <c r="G1602" s="12"/>
      <c r="H1602" s="12"/>
      <c r="I1602" s="13">
        <v>0</v>
      </c>
      <c r="J1602" s="13">
        <v>0</v>
      </c>
      <c r="K1602" s="14" t="str">
        <f t="shared" ref="K1602:K1603" si="327">HYPERLINK("http://twitter.com/download/android","Twitter for Android")</f>
        <v>Twitter for Android</v>
      </c>
      <c r="L1602" s="13">
        <v>477</v>
      </c>
      <c r="M1602" s="13">
        <v>647</v>
      </c>
      <c r="N1602" s="13">
        <v>9</v>
      </c>
      <c r="O1602" s="15"/>
      <c r="P1602" s="6">
        <v>40833.62804398148</v>
      </c>
      <c r="Q1602" s="12"/>
      <c r="R1602" s="17" t="s">
        <v>3960</v>
      </c>
      <c r="S1602" s="12"/>
      <c r="T1602" s="12"/>
      <c r="U1602" s="10" t="str">
        <f>HYPERLINK("https://pbs.twimg.com/profile_images/1026916745494364161/Awh3ooth.jpg","View")</f>
        <v>View</v>
      </c>
    </row>
    <row r="1603" spans="1:21" ht="51">
      <c r="A1603" s="6">
        <v>43425.365578703699</v>
      </c>
      <c r="B1603" s="7" t="str">
        <f>HYPERLINK("https://twitter.com/masalo_85","@masalo_85")</f>
        <v>@masalo_85</v>
      </c>
      <c r="C1603" s="8" t="s">
        <v>3963</v>
      </c>
      <c r="D1603" s="9" t="s">
        <v>3964</v>
      </c>
      <c r="E1603" s="10" t="str">
        <f>HYPERLINK("https://twitter.com/masalo_85/status/1065149420872843264","1065149420872843264")</f>
        <v>1065149420872843264</v>
      </c>
      <c r="F1603" s="16" t="s">
        <v>3965</v>
      </c>
      <c r="G1603" s="11" t="s">
        <v>3966</v>
      </c>
      <c r="H1603" s="12"/>
      <c r="I1603" s="13">
        <v>0</v>
      </c>
      <c r="J1603" s="13">
        <v>0</v>
      </c>
      <c r="K1603" s="14" t="str">
        <f t="shared" si="327"/>
        <v>Twitter for Android</v>
      </c>
      <c r="L1603" s="13">
        <v>109</v>
      </c>
      <c r="M1603" s="13">
        <v>159</v>
      </c>
      <c r="N1603" s="13">
        <v>3</v>
      </c>
      <c r="O1603" s="15"/>
      <c r="P1603" s="6">
        <v>40661.707766203705</v>
      </c>
      <c r="Q1603" s="16" t="s">
        <v>3967</v>
      </c>
      <c r="R1603" s="17" t="s">
        <v>3968</v>
      </c>
      <c r="S1603" s="12"/>
      <c r="T1603" s="12"/>
      <c r="U1603" s="10" t="str">
        <f>HYPERLINK("https://pbs.twimg.com/profile_images/1060191478872453122/jXIMT3n3.jpg","View")</f>
        <v>View</v>
      </c>
    </row>
    <row r="1604" spans="1:21" ht="51">
      <c r="A1604" s="6">
        <v>43425.364895833336</v>
      </c>
      <c r="B1604" s="7" t="str">
        <f>HYPERLINK("https://twitter.com/_Gafas_y_reloj_","@_Gafas_y_reloj_")</f>
        <v>@_Gafas_y_reloj_</v>
      </c>
      <c r="C1604" s="8" t="s">
        <v>3111</v>
      </c>
      <c r="D1604" s="9" t="s">
        <v>6844</v>
      </c>
      <c r="E1604" s="10" t="str">
        <f>HYPERLINK("https://twitter.com/_Gafas_y_reloj_/status/1065149176013602816","1065149176013602816")</f>
        <v>1065149176013602816</v>
      </c>
      <c r="F1604" s="12"/>
      <c r="G1604" s="12"/>
      <c r="H1604" s="12"/>
      <c r="I1604" s="13">
        <v>6</v>
      </c>
      <c r="J1604" s="13">
        <v>5</v>
      </c>
      <c r="K1604" s="14" t="str">
        <f>HYPERLINK("http://twitter.com","Twitter Web Client")</f>
        <v>Twitter Web Client</v>
      </c>
      <c r="L1604" s="13">
        <v>11846</v>
      </c>
      <c r="M1604" s="13">
        <v>712</v>
      </c>
      <c r="N1604" s="13">
        <v>193</v>
      </c>
      <c r="O1604" s="15"/>
      <c r="P1604" s="6">
        <v>40803.430173611108</v>
      </c>
      <c r="Q1604" s="16" t="s">
        <v>3113</v>
      </c>
      <c r="R1604" s="17" t="s">
        <v>3114</v>
      </c>
      <c r="S1604" s="12"/>
      <c r="T1604" s="12"/>
      <c r="U1604" s="10" t="str">
        <f>HYPERLINK("https://pbs.twimg.com/profile_images/923940667965038593/LEd9tLut.jpg","View")</f>
        <v>View</v>
      </c>
    </row>
    <row r="1605" spans="1:21" ht="20.399999999999999">
      <c r="A1605" s="6">
        <v>43425.364837962959</v>
      </c>
      <c r="B1605" s="7" t="str">
        <f>HYPERLINK("https://twitter.com/paulartita","@paulartita")</f>
        <v>@paulartita</v>
      </c>
      <c r="C1605" s="8" t="s">
        <v>6845</v>
      </c>
      <c r="D1605" s="9" t="s">
        <v>6846</v>
      </c>
      <c r="E1605" s="10" t="str">
        <f>HYPERLINK("https://twitter.com/paulartita/status/1065149155390222337","1065149155390222337")</f>
        <v>1065149155390222337</v>
      </c>
      <c r="F1605" s="12"/>
      <c r="G1605" s="12"/>
      <c r="H1605" s="12"/>
      <c r="I1605" s="13">
        <v>0</v>
      </c>
      <c r="J1605" s="13">
        <v>6</v>
      </c>
      <c r="K1605" s="14" t="str">
        <f>HYPERLINK("http://twitter.com/download/android","Twitter for Android")</f>
        <v>Twitter for Android</v>
      </c>
      <c r="L1605" s="13">
        <v>490</v>
      </c>
      <c r="M1605" s="13">
        <v>295</v>
      </c>
      <c r="N1605" s="13">
        <v>19</v>
      </c>
      <c r="O1605" s="15"/>
      <c r="P1605" s="6">
        <v>41277.438784722224</v>
      </c>
      <c r="Q1605" s="16" t="s">
        <v>2853</v>
      </c>
      <c r="R1605" s="17" t="s">
        <v>6847</v>
      </c>
      <c r="S1605" s="12"/>
      <c r="T1605" s="12"/>
      <c r="U1605" s="10" t="str">
        <f>HYPERLINK("https://pbs.twimg.com/profile_images/1038079365987397633/kPuHGInn.jpg","View")</f>
        <v>View</v>
      </c>
    </row>
    <row r="1606" spans="1:21" ht="30.6">
      <c r="A1606" s="6">
        <v>43425.363587962958</v>
      </c>
      <c r="B1606" s="7" t="str">
        <f>HYPERLINK("https://twitter.com/HoyPorHoy","@HoyPorHoy")</f>
        <v>@HoyPorHoy</v>
      </c>
      <c r="C1606" s="8" t="s">
        <v>3868</v>
      </c>
      <c r="D1606" s="9" t="s">
        <v>3971</v>
      </c>
      <c r="E1606" s="10" t="str">
        <f>HYPERLINK("https://twitter.com/HoyPorHoy/status/1065148699012038657","1065148699012038657")</f>
        <v>1065148699012038657</v>
      </c>
      <c r="F1606" s="11" t="s">
        <v>3872</v>
      </c>
      <c r="G1606" s="11" t="s">
        <v>3884</v>
      </c>
      <c r="H1606" s="12"/>
      <c r="I1606" s="13">
        <v>3</v>
      </c>
      <c r="J1606" s="13">
        <v>6</v>
      </c>
      <c r="K1606" s="14" t="str">
        <f>HYPERLINK("http://snappytv.com","SnappyTV.com")</f>
        <v>SnappyTV.com</v>
      </c>
      <c r="L1606" s="13">
        <v>151240</v>
      </c>
      <c r="M1606" s="13">
        <v>547</v>
      </c>
      <c r="N1606" s="13">
        <v>1950</v>
      </c>
      <c r="O1606" s="18" t="s">
        <v>36</v>
      </c>
      <c r="P1606" s="6">
        <v>40524.8125</v>
      </c>
      <c r="Q1606" s="16" t="s">
        <v>3875</v>
      </c>
      <c r="R1606" s="17" t="s">
        <v>3876</v>
      </c>
      <c r="S1606" s="11" t="s">
        <v>3877</v>
      </c>
      <c r="T1606" s="12"/>
      <c r="U1606" s="10" t="str">
        <f>HYPERLINK("https://pbs.twimg.com/profile_images/1048055720007163905/tEd_7iXy.jpg","View")</f>
        <v>View</v>
      </c>
    </row>
    <row r="1607" spans="1:21" ht="61.2">
      <c r="A1607" s="6">
        <v>43425.361793981487</v>
      </c>
      <c r="B1607" s="7" t="str">
        <f>HYPERLINK("https://twitter.com/pastordecabras7","@pastordecabras7")</f>
        <v>@pastordecabras7</v>
      </c>
      <c r="C1607" s="8" t="s">
        <v>3975</v>
      </c>
      <c r="D1607" s="9" t="s">
        <v>3976</v>
      </c>
      <c r="E1607" s="10" t="str">
        <f>HYPERLINK("https://twitter.com/pastordecabras7/status/1065148052497997825","1065148052497997825")</f>
        <v>1065148052497997825</v>
      </c>
      <c r="F1607" s="11" t="s">
        <v>3977</v>
      </c>
      <c r="G1607" s="11" t="s">
        <v>3978</v>
      </c>
      <c r="H1607" s="12"/>
      <c r="I1607" s="13">
        <v>0</v>
      </c>
      <c r="J1607" s="13">
        <v>0</v>
      </c>
      <c r="K1607" s="14" t="str">
        <f>HYPERLINK("http://twitter.com/download/android","Twitter for Android")</f>
        <v>Twitter for Android</v>
      </c>
      <c r="L1607" s="13">
        <v>26</v>
      </c>
      <c r="M1607" s="13">
        <v>195</v>
      </c>
      <c r="N1607" s="13">
        <v>0</v>
      </c>
      <c r="O1607" s="15"/>
      <c r="P1607" s="6">
        <v>42028.453564814816</v>
      </c>
      <c r="Q1607" s="16" t="s">
        <v>3979</v>
      </c>
      <c r="R1607" s="17" t="s">
        <v>3980</v>
      </c>
      <c r="S1607" s="12"/>
      <c r="T1607" s="12"/>
      <c r="U1607" s="10" t="str">
        <f>HYPERLINK("https://pbs.twimg.com/profile_images/1008220630557364224/sEWBmcvN.jpg","View")</f>
        <v>View</v>
      </c>
    </row>
    <row r="1608" spans="1:21" ht="30.6">
      <c r="A1608" s="6">
        <v>43425.361782407403</v>
      </c>
      <c r="B1608" s="7" t="str">
        <f>HYPERLINK("https://twitter.com/CiudadanosCs","@CiudadanosCs")</f>
        <v>@CiudadanosCs</v>
      </c>
      <c r="C1608" s="8" t="s">
        <v>196</v>
      </c>
      <c r="D1608" s="9" t="s">
        <v>3981</v>
      </c>
      <c r="E1608" s="10" t="str">
        <f>HYPERLINK("https://twitter.com/CiudadanosCs/status/1065148048043581440","1065148048043581440")</f>
        <v>1065148048043581440</v>
      </c>
      <c r="F1608" s="11" t="s">
        <v>3982</v>
      </c>
      <c r="G1608" s="11" t="s">
        <v>3983</v>
      </c>
      <c r="H1608" s="12"/>
      <c r="I1608" s="13">
        <v>20</v>
      </c>
      <c r="J1608" s="13">
        <v>25</v>
      </c>
      <c r="K1608" s="14" t="str">
        <f>HYPERLINK("http://twitter.com","Twitter Web Client")</f>
        <v>Twitter Web Client</v>
      </c>
      <c r="L1608" s="13">
        <v>486503</v>
      </c>
      <c r="M1608" s="13">
        <v>93653</v>
      </c>
      <c r="N1608" s="13">
        <v>3318</v>
      </c>
      <c r="O1608" s="18" t="s">
        <v>36</v>
      </c>
      <c r="P1608" s="6">
        <v>39828.753460648149</v>
      </c>
      <c r="Q1608" s="16" t="s">
        <v>37</v>
      </c>
      <c r="R1608" s="17" t="s">
        <v>202</v>
      </c>
      <c r="S1608" s="11" t="s">
        <v>203</v>
      </c>
      <c r="T1608" s="12"/>
      <c r="U1608" s="10" t="str">
        <f>HYPERLINK("https://pbs.twimg.com/profile_images/1053554096161075200/1z77_zBZ.jpg","View")</f>
        <v>View</v>
      </c>
    </row>
    <row r="1609" spans="1:21" ht="13.2">
      <c r="A1609" s="6">
        <v>43425.360868055555</v>
      </c>
      <c r="B1609" s="7" t="str">
        <f>HYPERLINK("https://twitter.com/uby77","@uby77")</f>
        <v>@uby77</v>
      </c>
      <c r="C1609" s="8" t="s">
        <v>6836</v>
      </c>
      <c r="D1609" s="9" t="s">
        <v>6848</v>
      </c>
      <c r="E1609" s="10" t="str">
        <f>HYPERLINK("https://twitter.com/uby77/status/1065147714701283330","1065147714701283330")</f>
        <v>1065147714701283330</v>
      </c>
      <c r="F1609" s="12"/>
      <c r="G1609" s="12"/>
      <c r="H1609" s="12"/>
      <c r="I1609" s="13">
        <v>0</v>
      </c>
      <c r="J1609" s="13">
        <v>2</v>
      </c>
      <c r="K1609" s="14" t="str">
        <f>HYPERLINK("http://twitter.com/download/android","Twitter for Android")</f>
        <v>Twitter for Android</v>
      </c>
      <c r="L1609" s="13">
        <v>2496</v>
      </c>
      <c r="M1609" s="13">
        <v>2460</v>
      </c>
      <c r="N1609" s="13">
        <v>35</v>
      </c>
      <c r="O1609" s="15"/>
      <c r="P1609" s="6">
        <v>40520.854143518518</v>
      </c>
      <c r="Q1609" s="16" t="s">
        <v>6838</v>
      </c>
      <c r="R1609" s="17" t="s">
        <v>6839</v>
      </c>
      <c r="S1609" s="12"/>
      <c r="T1609" s="12"/>
      <c r="U1609" s="10" t="str">
        <f>HYPERLINK("https://pbs.twimg.com/profile_images/772800238314807296/-693ozG3.jpg","View")</f>
        <v>View</v>
      </c>
    </row>
    <row r="1610" spans="1:21" ht="30.6">
      <c r="A1610" s="6">
        <v>43425.358842592592</v>
      </c>
      <c r="B1610" s="7" t="str">
        <f>HYPERLINK("https://twitter.com/HoyPorHoy","@HoyPorHoy")</f>
        <v>@HoyPorHoy</v>
      </c>
      <c r="C1610" s="8" t="s">
        <v>3868</v>
      </c>
      <c r="D1610" s="9" t="s">
        <v>3986</v>
      </c>
      <c r="E1610" s="10" t="str">
        <f>HYPERLINK("https://twitter.com/HoyPorHoy/status/1065146983315320832","1065146983315320832")</f>
        <v>1065146983315320832</v>
      </c>
      <c r="F1610" s="11" t="s">
        <v>3872</v>
      </c>
      <c r="G1610" s="11" t="s">
        <v>3987</v>
      </c>
      <c r="H1610" s="12"/>
      <c r="I1610" s="13">
        <v>0</v>
      </c>
      <c r="J1610" s="13">
        <v>3</v>
      </c>
      <c r="K1610" s="14" t="str">
        <f>HYPERLINK("http://twitter.com","Twitter Web Client")</f>
        <v>Twitter Web Client</v>
      </c>
      <c r="L1610" s="13">
        <v>151240</v>
      </c>
      <c r="M1610" s="13">
        <v>547</v>
      </c>
      <c r="N1610" s="13">
        <v>1950</v>
      </c>
      <c r="O1610" s="18" t="s">
        <v>36</v>
      </c>
      <c r="P1610" s="6">
        <v>40524.8125</v>
      </c>
      <c r="Q1610" s="16" t="s">
        <v>3875</v>
      </c>
      <c r="R1610" s="17" t="s">
        <v>3876</v>
      </c>
      <c r="S1610" s="11" t="s">
        <v>3877</v>
      </c>
      <c r="T1610" s="12"/>
      <c r="U1610" s="10" t="str">
        <f>HYPERLINK("https://pbs.twimg.com/profile_images/1048055720007163905/tEd_7iXy.jpg","View")</f>
        <v>View</v>
      </c>
    </row>
    <row r="1611" spans="1:21" ht="40.799999999999997">
      <c r="A1611" s="6">
        <v>43425.35837962963</v>
      </c>
      <c r="B1611" s="7" t="str">
        <f>HYPERLINK("https://twitter.com/GirautaOficial","@GirautaOficial")</f>
        <v>@GirautaOficial</v>
      </c>
      <c r="C1611" s="8" t="s">
        <v>2455</v>
      </c>
      <c r="D1611" s="9" t="s">
        <v>6849</v>
      </c>
      <c r="E1611" s="10" t="str">
        <f>HYPERLINK("https://twitter.com/GirautaOficial/status/1065146814318460928","1065146814318460928")</f>
        <v>1065146814318460928</v>
      </c>
      <c r="F1611" s="11" t="s">
        <v>3127</v>
      </c>
      <c r="G1611" s="12"/>
      <c r="H1611" s="12"/>
      <c r="I1611" s="13">
        <v>350</v>
      </c>
      <c r="J1611" s="13">
        <v>662</v>
      </c>
      <c r="K1611" s="14" t="str">
        <f>HYPERLINK("http://twitter.com/download/iphone","Twitter for iPhone")</f>
        <v>Twitter for iPhone</v>
      </c>
      <c r="L1611" s="13">
        <v>86776</v>
      </c>
      <c r="M1611" s="13">
        <v>2003</v>
      </c>
      <c r="N1611" s="13">
        <v>990</v>
      </c>
      <c r="O1611" s="18" t="s">
        <v>36</v>
      </c>
      <c r="P1611" s="6">
        <v>41621.818124999998</v>
      </c>
      <c r="Q1611" s="12"/>
      <c r="R1611" s="17" t="s">
        <v>2459</v>
      </c>
      <c r="S1611" s="11" t="s">
        <v>473</v>
      </c>
      <c r="T1611" s="12"/>
      <c r="U1611" s="10" t="str">
        <f>HYPERLINK("https://pbs.twimg.com/profile_images/820734017595207680/I1pC-01n.jpg","View")</f>
        <v>View</v>
      </c>
    </row>
    <row r="1612" spans="1:21" ht="20.399999999999999">
      <c r="A1612" s="6">
        <v>43425.357835648145</v>
      </c>
      <c r="B1612" s="7" t="str">
        <f>HYPERLINK("https://twitter.com/La_SER","@La_SER")</f>
        <v>@La_SER</v>
      </c>
      <c r="C1612" s="8" t="s">
        <v>3875</v>
      </c>
      <c r="D1612" s="9" t="s">
        <v>3990</v>
      </c>
      <c r="E1612" s="10" t="str">
        <f>HYPERLINK("https://twitter.com/La_SER/status/1065146618008281088","1065146618008281088")</f>
        <v>1065146618008281088</v>
      </c>
      <c r="F1612" s="11" t="s">
        <v>3991</v>
      </c>
      <c r="G1612" s="12"/>
      <c r="H1612" s="12"/>
      <c r="I1612" s="13">
        <v>0</v>
      </c>
      <c r="J1612" s="13">
        <v>2</v>
      </c>
      <c r="K1612" s="14" t="str">
        <f>HYPERLINK("https://about.twitter.com/products/tweetdeck","TweetDeck")</f>
        <v>TweetDeck</v>
      </c>
      <c r="L1612" s="13">
        <v>1152500</v>
      </c>
      <c r="M1612" s="13">
        <v>778</v>
      </c>
      <c r="N1612" s="13">
        <v>10623</v>
      </c>
      <c r="O1612" s="18" t="s">
        <v>36</v>
      </c>
      <c r="P1612" s="6">
        <v>39965.754942129628</v>
      </c>
      <c r="Q1612" s="12"/>
      <c r="R1612" s="17" t="s">
        <v>3992</v>
      </c>
      <c r="S1612" s="11" t="s">
        <v>3993</v>
      </c>
      <c r="T1612" s="12"/>
      <c r="U1612" s="10" t="str">
        <f>HYPERLINK("https://pbs.twimg.com/profile_images/1039929065774481409/zsYMDMZj.jpg","View")</f>
        <v>View</v>
      </c>
    </row>
    <row r="1613" spans="1:21" ht="40.799999999999997">
      <c r="A1613" s="6">
        <v>43425.355324074073</v>
      </c>
      <c r="B1613" s="7" t="str">
        <f>HYPERLINK("https://twitter.com/NOmeDig07490161","@NOmeDig07490161")</f>
        <v>@NOmeDig07490161</v>
      </c>
      <c r="C1613" s="8" t="s">
        <v>3994</v>
      </c>
      <c r="D1613" s="9" t="s">
        <v>3995</v>
      </c>
      <c r="E1613" s="10" t="str">
        <f>HYPERLINK("https://twitter.com/NOmeDig07490161/status/1065145706783096832","1065145706783096832")</f>
        <v>1065145706783096832</v>
      </c>
      <c r="F1613" s="12"/>
      <c r="G1613" s="12"/>
      <c r="H1613" s="12"/>
      <c r="I1613" s="13">
        <v>0</v>
      </c>
      <c r="J1613" s="13">
        <v>0</v>
      </c>
      <c r="K1613" s="14" t="str">
        <f>HYPERLINK("http://twitter.com","Twitter Web Client")</f>
        <v>Twitter Web Client</v>
      </c>
      <c r="L1613" s="13">
        <v>4</v>
      </c>
      <c r="M1613" s="13">
        <v>19</v>
      </c>
      <c r="N1613" s="13">
        <v>0</v>
      </c>
      <c r="O1613" s="15"/>
      <c r="P1613" s="6">
        <v>43402.581493055557</v>
      </c>
      <c r="Q1613" s="12"/>
      <c r="R1613" s="19"/>
      <c r="S1613" s="12"/>
      <c r="T1613" s="12"/>
      <c r="U1613" s="10" t="str">
        <f>HYPERLINK("https://pbs.twimg.com/profile_images/1056893548962963457/qa6qgAE1.jpg","View")</f>
        <v>View</v>
      </c>
    </row>
    <row r="1614" spans="1:21" ht="40.799999999999997">
      <c r="A1614" s="6">
        <v>43425.355104166665</v>
      </c>
      <c r="B1614" s="7" t="str">
        <f>HYPERLINK("https://twitter.com/Yoshelektaa","@Yoshelektaa")</f>
        <v>@Yoshelektaa</v>
      </c>
      <c r="C1614" s="8" t="s">
        <v>6854</v>
      </c>
      <c r="D1614" s="9" t="s">
        <v>6855</v>
      </c>
      <c r="E1614" s="10" t="str">
        <f>HYPERLINK("https://twitter.com/Yoshelektaa/status/1065145626483195904","1065145626483195904")</f>
        <v>1065145626483195904</v>
      </c>
      <c r="F1614" s="11" t="s">
        <v>6856</v>
      </c>
      <c r="G1614" s="12"/>
      <c r="H1614" s="12"/>
      <c r="I1614" s="13">
        <v>0</v>
      </c>
      <c r="J1614" s="13">
        <v>0</v>
      </c>
      <c r="K1614" s="14" t="str">
        <f>HYPERLINK("http://twitter.com/download/android","Twitter for Android")</f>
        <v>Twitter for Android</v>
      </c>
      <c r="L1614" s="13">
        <v>214</v>
      </c>
      <c r="M1614" s="13">
        <v>485</v>
      </c>
      <c r="N1614" s="13">
        <v>18</v>
      </c>
      <c r="O1614" s="15"/>
      <c r="P1614" s="6">
        <v>41766.497499999998</v>
      </c>
      <c r="Q1614" s="16" t="s">
        <v>6857</v>
      </c>
      <c r="R1614" s="17" t="s">
        <v>6858</v>
      </c>
      <c r="S1614" s="11" t="s">
        <v>6859</v>
      </c>
      <c r="T1614" s="12"/>
      <c r="U1614" s="10" t="str">
        <f>HYPERLINK("https://pbs.twimg.com/profile_images/654598788280094721/XKimfgQ0.jpg","View")</f>
        <v>View</v>
      </c>
    </row>
    <row r="1615" spans="1:21" ht="40.799999999999997">
      <c r="A1615" s="6">
        <v>43425.355023148149</v>
      </c>
      <c r="B1615" s="7" t="str">
        <f>HYPERLINK("https://twitter.com/santibenlli","@santibenlli")</f>
        <v>@santibenlli</v>
      </c>
      <c r="C1615" s="8" t="s">
        <v>6860</v>
      </c>
      <c r="D1615" s="9" t="s">
        <v>6861</v>
      </c>
      <c r="E1615" s="10" t="str">
        <f>HYPERLINK("https://twitter.com/santibenlli/status/1065145595910860800","1065145595910860800")</f>
        <v>1065145595910860800</v>
      </c>
      <c r="F1615" s="11" t="s">
        <v>6862</v>
      </c>
      <c r="G1615" s="12"/>
      <c r="H1615" s="12"/>
      <c r="I1615" s="13">
        <v>0</v>
      </c>
      <c r="J1615" s="13">
        <v>0</v>
      </c>
      <c r="K1615" s="14" t="str">
        <f>HYPERLINK("http://twitter.com","Twitter Web Client")</f>
        <v>Twitter Web Client</v>
      </c>
      <c r="L1615" s="13">
        <v>563</v>
      </c>
      <c r="M1615" s="13">
        <v>246</v>
      </c>
      <c r="N1615" s="13">
        <v>8</v>
      </c>
      <c r="O1615" s="15"/>
      <c r="P1615" s="6">
        <v>40724.291203703702</v>
      </c>
      <c r="Q1615" s="16" t="s">
        <v>263</v>
      </c>
      <c r="R1615" s="17" t="s">
        <v>6863</v>
      </c>
      <c r="S1615" s="12"/>
      <c r="T1615" s="12"/>
      <c r="U1615" s="10" t="str">
        <f>HYPERLINK("https://pbs.twimg.com/profile_images/615522382753701888/1JGITTtX.jpg","View")</f>
        <v>View</v>
      </c>
    </row>
    <row r="1616" spans="1:21" ht="51">
      <c r="A1616" s="6">
        <v>43425.353518518517</v>
      </c>
      <c r="B1616" s="7" t="str">
        <f>HYPERLINK("https://twitter.com/Piliconver","@Piliconver")</f>
        <v>@Piliconver</v>
      </c>
      <c r="C1616" s="8" t="s">
        <v>3996</v>
      </c>
      <c r="D1616" s="9" t="s">
        <v>3997</v>
      </c>
      <c r="E1616" s="10" t="str">
        <f>HYPERLINK("https://twitter.com/Piliconver/status/1065145051565752320","1065145051565752320")</f>
        <v>1065145051565752320</v>
      </c>
      <c r="F1616" s="12"/>
      <c r="G1616" s="12"/>
      <c r="H1616" s="12"/>
      <c r="I1616" s="13">
        <v>0</v>
      </c>
      <c r="J1616" s="13">
        <v>0</v>
      </c>
      <c r="K1616" s="14" t="str">
        <f t="shared" ref="K1616:K1617" si="328">HYPERLINK("http://twitter.com/download/android","Twitter for Android")</f>
        <v>Twitter for Android</v>
      </c>
      <c r="L1616" s="13">
        <v>507</v>
      </c>
      <c r="M1616" s="13">
        <v>585</v>
      </c>
      <c r="N1616" s="13">
        <v>14</v>
      </c>
      <c r="O1616" s="15"/>
      <c r="P1616" s="6">
        <v>40576.866655092592</v>
      </c>
      <c r="Q1616" s="16" t="s">
        <v>75</v>
      </c>
      <c r="R1616" s="17" t="s">
        <v>3998</v>
      </c>
      <c r="S1616" s="12"/>
      <c r="T1616" s="12"/>
      <c r="U1616" s="10" t="str">
        <f>HYPERLINK("https://pbs.twimg.com/profile_images/895382894851612673/9qo7fzjy.jpg","View")</f>
        <v>View</v>
      </c>
    </row>
    <row r="1617" spans="1:21" ht="51">
      <c r="A1617" s="6">
        <v>43425.347002314811</v>
      </c>
      <c r="B1617" s="7" t="str">
        <f>HYPERLINK("https://twitter.com/Soy_NeoDaVe","@Soy_NeoDaVe")</f>
        <v>@Soy_NeoDaVe</v>
      </c>
      <c r="C1617" s="8" t="s">
        <v>3999</v>
      </c>
      <c r="D1617" s="9" t="s">
        <v>4000</v>
      </c>
      <c r="E1617" s="10" t="str">
        <f>HYPERLINK("https://twitter.com/Soy_NeoDaVe/status/1065142692596858880","1065142692596858880")</f>
        <v>1065142692596858880</v>
      </c>
      <c r="F1617" s="16" t="s">
        <v>3675</v>
      </c>
      <c r="G1617" s="12"/>
      <c r="H1617" s="12"/>
      <c r="I1617" s="13">
        <v>0</v>
      </c>
      <c r="J1617" s="13">
        <v>0</v>
      </c>
      <c r="K1617" s="14" t="str">
        <f t="shared" si="328"/>
        <v>Twitter for Android</v>
      </c>
      <c r="L1617" s="13">
        <v>63</v>
      </c>
      <c r="M1617" s="13">
        <v>185</v>
      </c>
      <c r="N1617" s="13">
        <v>0</v>
      </c>
      <c r="O1617" s="15"/>
      <c r="P1617" s="6">
        <v>43341.917303240742</v>
      </c>
      <c r="Q1617" s="16" t="s">
        <v>4001</v>
      </c>
      <c r="R1617" s="17" t="s">
        <v>4002</v>
      </c>
      <c r="S1617" s="12"/>
      <c r="T1617" s="12"/>
      <c r="U1617" s="10" t="str">
        <f>HYPERLINK("https://pbs.twimg.com/profile_images/1039738004968013825/AAWro8xt.jpg","View")</f>
        <v>View</v>
      </c>
    </row>
    <row r="1618" spans="1:21" ht="20.399999999999999">
      <c r="A1618" s="6">
        <v>43425.344814814816</v>
      </c>
      <c r="B1618" s="7" t="str">
        <f>HYPERLINK("https://twitter.com/ciencibait","@ciencibait")</f>
        <v>@ciencibait</v>
      </c>
      <c r="C1618" s="8" t="s">
        <v>4398</v>
      </c>
      <c r="D1618" s="9" t="s">
        <v>6864</v>
      </c>
      <c r="E1618" s="10" t="str">
        <f>HYPERLINK("https://twitter.com/ciencibait/status/1065141898531213312","1065141898531213312")</f>
        <v>1065141898531213312</v>
      </c>
      <c r="F1618" s="12"/>
      <c r="G1618" s="12"/>
      <c r="H1618" s="12"/>
      <c r="I1618" s="13">
        <v>0</v>
      </c>
      <c r="J1618" s="13">
        <v>0</v>
      </c>
      <c r="K1618" s="14" t="str">
        <f>HYPERLINK("https://cheapbotsdonequick.com","Cheap Bots, Done Quick!")</f>
        <v>Cheap Bots, Done Quick!</v>
      </c>
      <c r="L1618" s="13">
        <v>98</v>
      </c>
      <c r="M1618" s="13">
        <v>3</v>
      </c>
      <c r="N1618" s="13">
        <v>2</v>
      </c>
      <c r="O1618" s="15"/>
      <c r="P1618" s="6">
        <v>42934.563923611116</v>
      </c>
      <c r="Q1618" s="12"/>
      <c r="R1618" s="17" t="s">
        <v>4401</v>
      </c>
      <c r="S1618" s="12"/>
      <c r="T1618" s="12"/>
      <c r="U1618" s="10" t="str">
        <f>HYPERLINK("https://pbs.twimg.com/profile_images/887301235627483137/-8wg4xTJ.jpg","View")</f>
        <v>View</v>
      </c>
    </row>
    <row r="1619" spans="1:21" ht="40.799999999999997">
      <c r="A1619" s="6">
        <v>43425.344282407408</v>
      </c>
      <c r="B1619" s="7" t="str">
        <f>HYPERLINK("https://twitter.com/Kapmehxu","@Kapmehxu")</f>
        <v>@Kapmehxu</v>
      </c>
      <c r="C1619" s="8" t="s">
        <v>6865</v>
      </c>
      <c r="D1619" s="9" t="s">
        <v>6866</v>
      </c>
      <c r="E1619" s="10" t="str">
        <f>HYPERLINK("https://twitter.com/Kapmehxu/status/1065141703240237056","1065141703240237056")</f>
        <v>1065141703240237056</v>
      </c>
      <c r="F1619" s="16" t="s">
        <v>6867</v>
      </c>
      <c r="G1619" s="11" t="s">
        <v>6868</v>
      </c>
      <c r="H1619" s="12"/>
      <c r="I1619" s="13">
        <v>0</v>
      </c>
      <c r="J1619" s="13">
        <v>0</v>
      </c>
      <c r="K1619" s="14" t="str">
        <f>HYPERLINK("http://twitter.com","Twitter Web Client")</f>
        <v>Twitter Web Client</v>
      </c>
      <c r="L1619" s="13">
        <v>107</v>
      </c>
      <c r="M1619" s="13">
        <v>236</v>
      </c>
      <c r="N1619" s="13">
        <v>2</v>
      </c>
      <c r="O1619" s="15"/>
      <c r="P1619" s="6">
        <v>40548.892372685186</v>
      </c>
      <c r="Q1619" s="16" t="s">
        <v>6869</v>
      </c>
      <c r="R1619" s="17" t="s">
        <v>6870</v>
      </c>
      <c r="S1619" s="12"/>
      <c r="T1619" s="12"/>
      <c r="U1619" s="10" t="str">
        <f>HYPERLINK("https://pbs.twimg.com/profile_images/979726525854515200/Y1hlmGWi.jpg","View")</f>
        <v>View</v>
      </c>
    </row>
    <row r="1620" spans="1:21" ht="102">
      <c r="A1620" s="6">
        <v>43425.344004629631</v>
      </c>
      <c r="B1620" s="7" t="str">
        <f>HYPERLINK("https://twitter.com/pedrotoribios","@pedrotoribios")</f>
        <v>@pedrotoribios</v>
      </c>
      <c r="C1620" s="8" t="s">
        <v>4003</v>
      </c>
      <c r="D1620" s="9" t="s">
        <v>4004</v>
      </c>
      <c r="E1620" s="10" t="str">
        <f>HYPERLINK("https://twitter.com/pedrotoribios/status/1065141604426616832","1065141604426616832")</f>
        <v>1065141604426616832</v>
      </c>
      <c r="F1620" s="11" t="s">
        <v>4005</v>
      </c>
      <c r="G1620" s="11" t="s">
        <v>4006</v>
      </c>
      <c r="H1620" s="12"/>
      <c r="I1620" s="13">
        <v>0</v>
      </c>
      <c r="J1620" s="13">
        <v>0</v>
      </c>
      <c r="K1620" s="14" t="str">
        <f>HYPERLINK("http://twitter.com/download/iphone","Twitter for iPhone")</f>
        <v>Twitter for iPhone</v>
      </c>
      <c r="L1620" s="13">
        <v>31</v>
      </c>
      <c r="M1620" s="13">
        <v>46</v>
      </c>
      <c r="N1620" s="13">
        <v>0</v>
      </c>
      <c r="O1620" s="15"/>
      <c r="P1620" s="6">
        <v>42771.463240740741</v>
      </c>
      <c r="Q1620" s="16" t="s">
        <v>106</v>
      </c>
      <c r="R1620" s="17" t="s">
        <v>4007</v>
      </c>
      <c r="S1620" s="11" t="s">
        <v>4008</v>
      </c>
      <c r="T1620" s="12"/>
      <c r="U1620" s="10" t="str">
        <f>HYPERLINK("https://pbs.twimg.com/profile_images/828869967739252738/Jihlx3KD.jpg","View")</f>
        <v>View</v>
      </c>
    </row>
    <row r="1621" spans="1:21" ht="20.399999999999999">
      <c r="A1621" s="6">
        <v>43425.343692129631</v>
      </c>
      <c r="B1621" s="7" t="str">
        <f>HYPERLINK("https://twitter.com/inakipardot","@inakipardot")</f>
        <v>@inakipardot</v>
      </c>
      <c r="C1621" s="8" t="s">
        <v>3883</v>
      </c>
      <c r="D1621" s="9" t="s">
        <v>6541</v>
      </c>
      <c r="E1621" s="10" t="str">
        <f>HYPERLINK("https://twitter.com/inakipardot/status/1065141492044521473","1065141492044521473")</f>
        <v>1065141492044521473</v>
      </c>
      <c r="F1621" s="11" t="s">
        <v>3688</v>
      </c>
      <c r="G1621" s="12"/>
      <c r="H1621" s="12"/>
      <c r="I1621" s="13">
        <v>0</v>
      </c>
      <c r="J1621" s="13">
        <v>0</v>
      </c>
      <c r="K1621" s="14" t="str">
        <f>HYPERLINK("http://twitter.com","Twitter Web Client")</f>
        <v>Twitter Web Client</v>
      </c>
      <c r="L1621" s="13">
        <v>1231</v>
      </c>
      <c r="M1621" s="13">
        <v>3160</v>
      </c>
      <c r="N1621" s="13">
        <v>73</v>
      </c>
      <c r="O1621" s="15"/>
      <c r="P1621" s="6">
        <v>40321.717534722222</v>
      </c>
      <c r="Q1621" s="16" t="s">
        <v>3886</v>
      </c>
      <c r="R1621" s="17" t="s">
        <v>3887</v>
      </c>
      <c r="S1621" s="12"/>
      <c r="T1621" s="12"/>
      <c r="U1621" s="10" t="str">
        <f>HYPERLINK("https://pbs.twimg.com/profile_images/532339238079983616/qOmya1Et.jpeg","View")</f>
        <v>View</v>
      </c>
    </row>
    <row r="1622" spans="1:21" ht="30.6">
      <c r="A1622" s="6">
        <v>43425.342870370368</v>
      </c>
      <c r="B1622" s="7" t="str">
        <f>HYPERLINK("https://twitter.com/Albert_Rivera","@Albert_Rivera")</f>
        <v>@Albert_Rivera</v>
      </c>
      <c r="C1622" s="8" t="s">
        <v>389</v>
      </c>
      <c r="D1622" s="9" t="s">
        <v>6871</v>
      </c>
      <c r="E1622" s="10" t="str">
        <f>HYPERLINK("https://twitter.com/Albert_Rivera/status/1065141192273346560","1065141192273346560")</f>
        <v>1065141192273346560</v>
      </c>
      <c r="F1622" s="12"/>
      <c r="G1622" s="11" t="s">
        <v>6872</v>
      </c>
      <c r="H1622" s="12"/>
      <c r="I1622" s="13">
        <v>50</v>
      </c>
      <c r="J1622" s="13">
        <v>86</v>
      </c>
      <c r="K1622" s="14" t="str">
        <f t="shared" ref="K1622:K1623" si="329">HYPERLINK("http://twitter.com/download/iphone","Twitter for iPhone")</f>
        <v>Twitter for iPhone</v>
      </c>
      <c r="L1622" s="13">
        <v>1071530</v>
      </c>
      <c r="M1622" s="13">
        <v>2545</v>
      </c>
      <c r="N1622" s="13">
        <v>5104</v>
      </c>
      <c r="O1622" s="18" t="s">
        <v>36</v>
      </c>
      <c r="P1622" s="6">
        <v>40205.748171296298</v>
      </c>
      <c r="Q1622" s="16" t="s">
        <v>37</v>
      </c>
      <c r="R1622" s="17" t="s">
        <v>393</v>
      </c>
      <c r="S1622" s="11" t="s">
        <v>394</v>
      </c>
      <c r="T1622" s="12"/>
      <c r="U1622" s="10" t="str">
        <f>HYPERLINK("https://pbs.twimg.com/profile_images/1030708936779988993/RncDM4EZ.jpg","View")</f>
        <v>View</v>
      </c>
    </row>
    <row r="1623" spans="1:21" ht="102">
      <c r="A1623" s="6">
        <v>43425.341099537036</v>
      </c>
      <c r="B1623" s="7" t="str">
        <f>HYPERLINK("https://twitter.com/millanfernandez","@millanfernandez")</f>
        <v>@millanfernandez</v>
      </c>
      <c r="C1623" s="8" t="s">
        <v>1627</v>
      </c>
      <c r="D1623" s="9" t="s">
        <v>6873</v>
      </c>
      <c r="E1623" s="10" t="str">
        <f>HYPERLINK("https://twitter.com/millanfernandez/status/1065140553120129024","1065140553120129024")</f>
        <v>1065140553120129024</v>
      </c>
      <c r="F1623" s="16" t="s">
        <v>4404</v>
      </c>
      <c r="G1623" s="12"/>
      <c r="H1623" s="12"/>
      <c r="I1623" s="13">
        <v>1</v>
      </c>
      <c r="J1623" s="13">
        <v>5</v>
      </c>
      <c r="K1623" s="14" t="str">
        <f t="shared" si="329"/>
        <v>Twitter for iPhone</v>
      </c>
      <c r="L1623" s="13">
        <v>5019</v>
      </c>
      <c r="M1623" s="13">
        <v>5451</v>
      </c>
      <c r="N1623" s="13">
        <v>137</v>
      </c>
      <c r="O1623" s="15"/>
      <c r="P1623" s="6">
        <v>39949.83803240741</v>
      </c>
      <c r="Q1623" s="16" t="s">
        <v>1631</v>
      </c>
      <c r="R1623" s="17" t="s">
        <v>1632</v>
      </c>
      <c r="S1623" s="12"/>
      <c r="T1623" s="12"/>
      <c r="U1623" s="10" t="str">
        <f>HYPERLINK("https://pbs.twimg.com/profile_images/945388141254463490/ZS9qUZtT.jpg","View")</f>
        <v>View</v>
      </c>
    </row>
    <row r="1624" spans="1:21" ht="51">
      <c r="A1624" s="6">
        <v>43425.334722222222</v>
      </c>
      <c r="B1624" s="7" t="str">
        <f t="shared" ref="B1624:B1625" si="330">HYPERLINK("https://twitter.com/bitMomentum","@bitMomentum")</f>
        <v>@bitMomentum</v>
      </c>
      <c r="C1624" s="8" t="s">
        <v>706</v>
      </c>
      <c r="D1624" s="9" t="s">
        <v>4009</v>
      </c>
      <c r="E1624" s="10" t="str">
        <f>HYPERLINK("https://twitter.com/bitMomentum/status/1065138238954905602","1065138238954905602")</f>
        <v>1065138238954905602</v>
      </c>
      <c r="F1624" s="12"/>
      <c r="G1624" s="12"/>
      <c r="H1624" s="12"/>
      <c r="I1624" s="13">
        <v>0</v>
      </c>
      <c r="J1624" s="13">
        <v>0</v>
      </c>
      <c r="K1624" s="14" t="str">
        <f t="shared" ref="K1624:K1625" si="331">HYPERLINK("http://www.bitmomentum.com","bitMomentum Bot")</f>
        <v>bitMomentum Bot</v>
      </c>
      <c r="L1624" s="13">
        <v>10132</v>
      </c>
      <c r="M1624" s="13">
        <v>1060</v>
      </c>
      <c r="N1624" s="13">
        <v>262</v>
      </c>
      <c r="O1624" s="15"/>
      <c r="P1624" s="6">
        <v>41608.667511574073</v>
      </c>
      <c r="Q1624" s="12"/>
      <c r="R1624" s="17" t="s">
        <v>708</v>
      </c>
      <c r="S1624" s="11" t="s">
        <v>709</v>
      </c>
      <c r="T1624" s="12"/>
      <c r="U1624" s="10" t="str">
        <f t="shared" ref="U1624:U1625" si="332">HYPERLINK("https://pbs.twimg.com/profile_images/378800000862185241/20ij2H3u.png","View")</f>
        <v>View</v>
      </c>
    </row>
    <row r="1625" spans="1:21" ht="51">
      <c r="A1625" s="6">
        <v>43425.334027777775</v>
      </c>
      <c r="B1625" s="7" t="str">
        <f t="shared" si="330"/>
        <v>@bitMomentum</v>
      </c>
      <c r="C1625" s="8" t="s">
        <v>706</v>
      </c>
      <c r="D1625" s="9" t="s">
        <v>4015</v>
      </c>
      <c r="E1625" s="10" t="str">
        <f>HYPERLINK("https://twitter.com/bitMomentum/status/1065137987250466822","1065137987250466822")</f>
        <v>1065137987250466822</v>
      </c>
      <c r="F1625" s="12"/>
      <c r="G1625" s="12"/>
      <c r="H1625" s="12"/>
      <c r="I1625" s="13">
        <v>1</v>
      </c>
      <c r="J1625" s="13">
        <v>1</v>
      </c>
      <c r="K1625" s="14" t="str">
        <f t="shared" si="331"/>
        <v>bitMomentum Bot</v>
      </c>
      <c r="L1625" s="13">
        <v>10132</v>
      </c>
      <c r="M1625" s="13">
        <v>1060</v>
      </c>
      <c r="N1625" s="13">
        <v>262</v>
      </c>
      <c r="O1625" s="15"/>
      <c r="P1625" s="6">
        <v>41608.667511574073</v>
      </c>
      <c r="Q1625" s="12"/>
      <c r="R1625" s="17" t="s">
        <v>708</v>
      </c>
      <c r="S1625" s="11" t="s">
        <v>709</v>
      </c>
      <c r="T1625" s="12"/>
      <c r="U1625" s="10" t="str">
        <f t="shared" si="332"/>
        <v>View</v>
      </c>
    </row>
    <row r="1626" spans="1:21" ht="30.6">
      <c r="A1626" s="6">
        <v>43425.328506944439</v>
      </c>
      <c r="B1626" s="7" t="str">
        <f>HYPERLINK("https://twitter.com/FeelFre30265794","@FeelFre30265794")</f>
        <v>@FeelFre30265794</v>
      </c>
      <c r="C1626" s="8" t="s">
        <v>1356</v>
      </c>
      <c r="D1626" s="9" t="s">
        <v>6874</v>
      </c>
      <c r="E1626" s="10" t="str">
        <f>HYPERLINK("https://twitter.com/FeelFre30265794/status/1065135988836630528","1065135988836630528")</f>
        <v>1065135988836630528</v>
      </c>
      <c r="F1626" s="12"/>
      <c r="G1626" s="11" t="s">
        <v>6875</v>
      </c>
      <c r="H1626" s="12"/>
      <c r="I1626" s="13">
        <v>0</v>
      </c>
      <c r="J1626" s="13">
        <v>0</v>
      </c>
      <c r="K1626" s="14" t="str">
        <f t="shared" ref="K1626:K1627" si="333">HYPERLINK("http://twitter.com","Twitter Web Client")</f>
        <v>Twitter Web Client</v>
      </c>
      <c r="L1626" s="13">
        <v>2258</v>
      </c>
      <c r="M1626" s="13">
        <v>1864</v>
      </c>
      <c r="N1626" s="13">
        <v>11</v>
      </c>
      <c r="O1626" s="15"/>
      <c r="P1626" s="6">
        <v>43000.856898148151</v>
      </c>
      <c r="Q1626" s="12"/>
      <c r="R1626" s="17" t="s">
        <v>1360</v>
      </c>
      <c r="S1626" s="12"/>
      <c r="T1626" s="12"/>
      <c r="U1626" s="10" t="str">
        <f>HYPERLINK("https://pbs.twimg.com/profile_images/967874628118040576/GwuvyVUw.jpg","View")</f>
        <v>View</v>
      </c>
    </row>
    <row r="1627" spans="1:21" ht="30.6">
      <c r="A1627" s="6">
        <v>43425.325231481482</v>
      </c>
      <c r="B1627" s="7" t="str">
        <f>HYPERLINK("https://twitter.com/sierramoli","@sierramoli")</f>
        <v>@sierramoli</v>
      </c>
      <c r="C1627" s="8" t="s">
        <v>4019</v>
      </c>
      <c r="D1627" s="9" t="s">
        <v>4020</v>
      </c>
      <c r="E1627" s="10" t="str">
        <f>HYPERLINK("https://twitter.com/sierramoli/status/1065134799403343872","1065134799403343872")</f>
        <v>1065134799403343872</v>
      </c>
      <c r="F1627" s="12"/>
      <c r="G1627" s="12"/>
      <c r="H1627" s="12"/>
      <c r="I1627" s="13">
        <v>0</v>
      </c>
      <c r="J1627" s="13">
        <v>1</v>
      </c>
      <c r="K1627" s="14" t="str">
        <f t="shared" si="333"/>
        <v>Twitter Web Client</v>
      </c>
      <c r="L1627" s="13">
        <v>2790</v>
      </c>
      <c r="M1627" s="13">
        <v>2671</v>
      </c>
      <c r="N1627" s="13">
        <v>15</v>
      </c>
      <c r="O1627" s="15"/>
      <c r="P1627" s="6">
        <v>42343.816192129627</v>
      </c>
      <c r="Q1627" s="16" t="s">
        <v>207</v>
      </c>
      <c r="R1627" s="17" t="s">
        <v>4021</v>
      </c>
      <c r="S1627" s="11" t="s">
        <v>4022</v>
      </c>
      <c r="T1627" s="12"/>
      <c r="U1627" s="10" t="str">
        <f>HYPERLINK("https://pbs.twimg.com/profile_images/1039216438626664448/mv9i2HMD.jpg","View")</f>
        <v>View</v>
      </c>
    </row>
    <row r="1628" spans="1:21" ht="51">
      <c r="A1628" s="6">
        <v>43425.324641203704</v>
      </c>
      <c r="B1628" s="7" t="str">
        <f>HYPERLINK("https://twitter.com/tatarlak","@tatarlak")</f>
        <v>@tatarlak</v>
      </c>
      <c r="C1628" s="8" t="s">
        <v>677</v>
      </c>
      <c r="D1628" s="9" t="s">
        <v>4023</v>
      </c>
      <c r="E1628" s="10" t="str">
        <f>HYPERLINK("https://twitter.com/tatarlak/status/1065134587637043201","1065134587637043201")</f>
        <v>1065134587637043201</v>
      </c>
      <c r="F1628" s="11" t="s">
        <v>4024</v>
      </c>
      <c r="G1628" s="12"/>
      <c r="H1628" s="12"/>
      <c r="I1628" s="13">
        <v>0</v>
      </c>
      <c r="J1628" s="13">
        <v>0</v>
      </c>
      <c r="K1628" s="14" t="str">
        <f>HYPERLINK("https://www.hootsuite.com","Hootsuite Inc.")</f>
        <v>Hootsuite Inc.</v>
      </c>
      <c r="L1628" s="13">
        <v>3535</v>
      </c>
      <c r="M1628" s="13">
        <v>4626</v>
      </c>
      <c r="N1628" s="13">
        <v>173</v>
      </c>
      <c r="O1628" s="15"/>
      <c r="P1628" s="6">
        <v>39942.875520833331</v>
      </c>
      <c r="Q1628" s="16" t="s">
        <v>682</v>
      </c>
      <c r="R1628" s="17" t="s">
        <v>683</v>
      </c>
      <c r="S1628" s="11" t="s">
        <v>684</v>
      </c>
      <c r="T1628" s="12"/>
      <c r="U1628" s="10" t="str">
        <f>HYPERLINK("https://pbs.twimg.com/profile_images/828645700825182209/EyWSNwMu.jpg","View")</f>
        <v>View</v>
      </c>
    </row>
    <row r="1629" spans="1:21" ht="30.6">
      <c r="A1629" s="6">
        <v>43425.322384259256</v>
      </c>
      <c r="B1629" s="7" t="str">
        <f>HYPERLINK("https://twitter.com/DUISISI","@DUISISI")</f>
        <v>@DUISISI</v>
      </c>
      <c r="C1629" s="8" t="s">
        <v>4025</v>
      </c>
      <c r="D1629" s="9" t="s">
        <v>4026</v>
      </c>
      <c r="E1629" s="10" t="str">
        <f>HYPERLINK("https://twitter.com/DUISISI/status/1065133768791470080","1065133768791470080")</f>
        <v>1065133768791470080</v>
      </c>
      <c r="F1629" s="11" t="s">
        <v>4027</v>
      </c>
      <c r="G1629" s="12"/>
      <c r="H1629" s="12"/>
      <c r="I1629" s="13">
        <v>2</v>
      </c>
      <c r="J1629" s="13">
        <v>4</v>
      </c>
      <c r="K1629" s="14" t="str">
        <f>HYPERLINK("http://twitter.com/download/iphone","Twitter for iPhone")</f>
        <v>Twitter for iPhone</v>
      </c>
      <c r="L1629" s="13">
        <v>2193</v>
      </c>
      <c r="M1629" s="13">
        <v>1482</v>
      </c>
      <c r="N1629" s="13">
        <v>14</v>
      </c>
      <c r="O1629" s="15"/>
      <c r="P1629" s="6">
        <v>41689.941203703704</v>
      </c>
      <c r="Q1629" s="16" t="s">
        <v>4028</v>
      </c>
      <c r="R1629" s="17" t="s">
        <v>4029</v>
      </c>
      <c r="S1629" s="12"/>
      <c r="T1629" s="12"/>
      <c r="U1629" s="10" t="str">
        <f>HYPERLINK("https://pbs.twimg.com/profile_images/1038914969134407680/2QCGGb2l.jpg","View")</f>
        <v>View</v>
      </c>
    </row>
    <row r="1630" spans="1:21" ht="20.399999999999999">
      <c r="A1630" s="6">
        <v>43425.321273148147</v>
      </c>
      <c r="B1630" s="7" t="str">
        <f>HYPERLINK("https://twitter.com/TheCormental","@TheCormental")</f>
        <v>@TheCormental</v>
      </c>
      <c r="C1630" s="8" t="s">
        <v>1469</v>
      </c>
      <c r="D1630" s="9" t="s">
        <v>5267</v>
      </c>
      <c r="E1630" s="10" t="str">
        <f>HYPERLINK("https://twitter.com/TheCormental/status/1065133366050267136","1065133366050267136")</f>
        <v>1065133366050267136</v>
      </c>
      <c r="F1630" s="11" t="s">
        <v>4488</v>
      </c>
      <c r="G1630" s="12"/>
      <c r="H1630" s="12"/>
      <c r="I1630" s="13">
        <v>0</v>
      </c>
      <c r="J1630" s="13">
        <v>0</v>
      </c>
      <c r="K1630" s="14" t="str">
        <f>HYPERLINK("https://www.google.com/","Google")</f>
        <v>Google</v>
      </c>
      <c r="L1630" s="13">
        <v>614</v>
      </c>
      <c r="M1630" s="13">
        <v>1180</v>
      </c>
      <c r="N1630" s="13">
        <v>69</v>
      </c>
      <c r="O1630" s="15"/>
      <c r="P1630" s="6">
        <v>41385.54146990741</v>
      </c>
      <c r="Q1630" s="16" t="s">
        <v>1474</v>
      </c>
      <c r="R1630" s="17" t="s">
        <v>1475</v>
      </c>
      <c r="S1630" s="11" t="s">
        <v>1476</v>
      </c>
      <c r="T1630" s="12"/>
      <c r="U1630" s="10" t="str">
        <f>HYPERLINK("https://pbs.twimg.com/profile_images/960971237940965376/j3ZMhhtA.jpg","View")</f>
        <v>View</v>
      </c>
    </row>
    <row r="1631" spans="1:21" ht="30.6">
      <c r="A1631" s="6">
        <v>43425.321192129632</v>
      </c>
      <c r="B1631" s="7" t="str">
        <f>HYPERLINK("https://twitter.com/DanielFabero","@DanielFabero")</f>
        <v>@DanielFabero</v>
      </c>
      <c r="C1631" s="8" t="s">
        <v>4030</v>
      </c>
      <c r="D1631" s="9" t="s">
        <v>4031</v>
      </c>
      <c r="E1631" s="10" t="str">
        <f>HYPERLINK("https://twitter.com/DanielFabero/status/1065133339311595520","1065133339311595520")</f>
        <v>1065133339311595520</v>
      </c>
      <c r="F1631" s="12"/>
      <c r="G1631" s="12"/>
      <c r="H1631" s="12"/>
      <c r="I1631" s="13">
        <v>1</v>
      </c>
      <c r="J1631" s="13">
        <v>6</v>
      </c>
      <c r="K1631" s="14" t="str">
        <f>HYPERLINK("http://twitter.com/download/android","Twitter for Android")</f>
        <v>Twitter for Android</v>
      </c>
      <c r="L1631" s="13">
        <v>408</v>
      </c>
      <c r="M1631" s="13">
        <v>522</v>
      </c>
      <c r="N1631" s="13">
        <v>10</v>
      </c>
      <c r="O1631" s="15"/>
      <c r="P1631" s="6">
        <v>40834.915208333332</v>
      </c>
      <c r="Q1631" s="16" t="s">
        <v>4033</v>
      </c>
      <c r="R1631" s="17" t="s">
        <v>4035</v>
      </c>
      <c r="S1631" s="12"/>
      <c r="T1631" s="12"/>
      <c r="U1631" s="10" t="str">
        <f>HYPERLINK("https://pbs.twimg.com/profile_images/995308510962479104/j6MD8UwN.jpg","View")</f>
        <v>View</v>
      </c>
    </row>
    <row r="1632" spans="1:21" ht="51">
      <c r="A1632" s="6">
        <v>43425.321076388893</v>
      </c>
      <c r="B1632" s="7" t="str">
        <f>HYPERLINK("https://twitter.com/tinamonge","@tinamonge")</f>
        <v>@tinamonge</v>
      </c>
      <c r="C1632" s="8" t="s">
        <v>4037</v>
      </c>
      <c r="D1632" s="9" t="s">
        <v>4038</v>
      </c>
      <c r="E1632" s="10" t="str">
        <f>HYPERLINK("https://twitter.com/tinamonge/status/1065133295887892486","1065133295887892486")</f>
        <v>1065133295887892486</v>
      </c>
      <c r="F1632" s="12"/>
      <c r="G1632" s="12"/>
      <c r="H1632" s="12"/>
      <c r="I1632" s="13">
        <v>1</v>
      </c>
      <c r="J1632" s="13">
        <v>3</v>
      </c>
      <c r="K1632" s="14" t="str">
        <f>HYPERLINK("http://twitter.com/download/iphone","Twitter for iPhone")</f>
        <v>Twitter for iPhone</v>
      </c>
      <c r="L1632" s="13">
        <v>3893</v>
      </c>
      <c r="M1632" s="13">
        <v>2432</v>
      </c>
      <c r="N1632" s="13">
        <v>128</v>
      </c>
      <c r="O1632" s="15"/>
      <c r="P1632" s="6">
        <v>40258.779918981483</v>
      </c>
      <c r="Q1632" s="12"/>
      <c r="R1632" s="17" t="s">
        <v>4040</v>
      </c>
      <c r="S1632" s="12"/>
      <c r="T1632" s="12"/>
      <c r="U1632" s="10" t="str">
        <f>HYPERLINK("https://pbs.twimg.com/profile_images/977945044324880385/mD6SKwef.jpg","View")</f>
        <v>View</v>
      </c>
    </row>
    <row r="1633" spans="1:21" ht="51">
      <c r="A1633" s="6">
        <v>43425.315636574072</v>
      </c>
      <c r="B1633" s="7" t="str">
        <f>HYPERLINK("https://twitter.com/CastilianWoman","@CastilianWoman")</f>
        <v>@CastilianWoman</v>
      </c>
      <c r="C1633" s="8" t="s">
        <v>6876</v>
      </c>
      <c r="D1633" s="9" t="s">
        <v>6877</v>
      </c>
      <c r="E1633" s="10" t="str">
        <f>HYPERLINK("https://twitter.com/CastilianWoman/status/1065131325902995457","1065131325902995457")</f>
        <v>1065131325902995457</v>
      </c>
      <c r="F1633" s="11" t="s">
        <v>6878</v>
      </c>
      <c r="G1633" s="12"/>
      <c r="H1633" s="12"/>
      <c r="I1633" s="13">
        <v>1</v>
      </c>
      <c r="J1633" s="13">
        <v>0</v>
      </c>
      <c r="K1633" s="14" t="str">
        <f>HYPERLINK("http://twitter.com/#!/download/ipad","Twitter for iPad")</f>
        <v>Twitter for iPad</v>
      </c>
      <c r="L1633" s="13">
        <v>2309</v>
      </c>
      <c r="M1633" s="13">
        <v>3902</v>
      </c>
      <c r="N1633" s="13">
        <v>23</v>
      </c>
      <c r="O1633" s="15"/>
      <c r="P1633" s="6">
        <v>42595.671261574069</v>
      </c>
      <c r="Q1633" s="16" t="s">
        <v>6879</v>
      </c>
      <c r="R1633" s="17" t="s">
        <v>6880</v>
      </c>
      <c r="S1633" s="12"/>
      <c r="T1633" s="12"/>
      <c r="U1633" s="10" t="str">
        <f>HYPERLINK("https://pbs.twimg.com/profile_images/927908445357002752/7Zlsd7X9.jpg","View")</f>
        <v>View</v>
      </c>
    </row>
    <row r="1634" spans="1:21" ht="30.6">
      <c r="A1634" s="6">
        <v>43425.31549768518</v>
      </c>
      <c r="B1634" s="7" t="str">
        <f>HYPERLINK("https://twitter.com/estheerr23","@estheerr23")</f>
        <v>@estheerr23</v>
      </c>
      <c r="C1634" s="8" t="s">
        <v>4041</v>
      </c>
      <c r="D1634" s="9" t="s">
        <v>4042</v>
      </c>
      <c r="E1634" s="10" t="str">
        <f>HYPERLINK("https://twitter.com/estheerr23/status/1065131273197363201","1065131273197363201")</f>
        <v>1065131273197363201</v>
      </c>
      <c r="F1634" s="11" t="s">
        <v>4043</v>
      </c>
      <c r="G1634" s="11" t="s">
        <v>4044</v>
      </c>
      <c r="H1634" s="12"/>
      <c r="I1634" s="13">
        <v>0</v>
      </c>
      <c r="J1634" s="13">
        <v>0</v>
      </c>
      <c r="K1634" s="14" t="str">
        <f>HYPERLINK("http://twitter.com/download/iphone","Twitter for iPhone")</f>
        <v>Twitter for iPhone</v>
      </c>
      <c r="L1634" s="13">
        <v>1310</v>
      </c>
      <c r="M1634" s="13">
        <v>1368</v>
      </c>
      <c r="N1634" s="13">
        <v>18</v>
      </c>
      <c r="O1634" s="15"/>
      <c r="P1634" s="6">
        <v>40350.635104166664</v>
      </c>
      <c r="Q1634" s="16" t="s">
        <v>3063</v>
      </c>
      <c r="R1634" s="17" t="s">
        <v>4045</v>
      </c>
      <c r="S1634" s="12"/>
      <c r="T1634" s="12"/>
      <c r="U1634" s="10" t="str">
        <f>HYPERLINK("https://pbs.twimg.com/profile_images/1056627709084876801/IzkxuZQU.jpg","View")</f>
        <v>View</v>
      </c>
    </row>
    <row r="1635" spans="1:21" ht="30.6">
      <c r="A1635" s="6">
        <v>43425.313217592593</v>
      </c>
      <c r="B1635" s="7" t="str">
        <f>HYPERLINK("https://twitter.com/CallesJmsanchez","@CallesJmsanchez")</f>
        <v>@CallesJmsanchez</v>
      </c>
      <c r="C1635" s="8" t="s">
        <v>6881</v>
      </c>
      <c r="D1635" s="9" t="s">
        <v>6882</v>
      </c>
      <c r="E1635" s="10" t="str">
        <f>HYPERLINK("https://twitter.com/CallesJmsanchez/status/1065130448412659713","1065130448412659713")</f>
        <v>1065130448412659713</v>
      </c>
      <c r="F1635" s="16" t="s">
        <v>6883</v>
      </c>
      <c r="G1635" s="12"/>
      <c r="H1635" s="12"/>
      <c r="I1635" s="13">
        <v>0</v>
      </c>
      <c r="J1635" s="13">
        <v>3</v>
      </c>
      <c r="K1635" s="14" t="str">
        <f>HYPERLINK("http://twitter.com/download/android","Twitter for Android")</f>
        <v>Twitter for Android</v>
      </c>
      <c r="L1635" s="13">
        <v>209</v>
      </c>
      <c r="M1635" s="13">
        <v>599</v>
      </c>
      <c r="N1635" s="13">
        <v>2</v>
      </c>
      <c r="O1635" s="15"/>
      <c r="P1635" s="6">
        <v>42050.940069444448</v>
      </c>
      <c r="Q1635" s="16" t="s">
        <v>75</v>
      </c>
      <c r="R1635" s="19"/>
      <c r="S1635" s="12"/>
      <c r="T1635" s="12"/>
      <c r="U1635" s="10" t="str">
        <f>HYPERLINK("https://pbs.twimg.com/profile_images/948526136274964481/go1_xtjC.jpg","View")</f>
        <v>View</v>
      </c>
    </row>
    <row r="1636" spans="1:21" ht="30.6">
      <c r="A1636" s="6">
        <v>43425.311087962968</v>
      </c>
      <c r="B1636" s="7" t="str">
        <f>HYPERLINK("https://twitter.com/chuchicharra","@chuchicharra")</f>
        <v>@chuchicharra</v>
      </c>
      <c r="C1636" s="8" t="s">
        <v>4046</v>
      </c>
      <c r="D1636" s="9" t="s">
        <v>4047</v>
      </c>
      <c r="E1636" s="10" t="str">
        <f>HYPERLINK("https://twitter.com/chuchicharra/status/1065129677763866624","1065129677763866624")</f>
        <v>1065129677763866624</v>
      </c>
      <c r="F1636" s="16" t="s">
        <v>4048</v>
      </c>
      <c r="G1636" s="12"/>
      <c r="H1636" s="12"/>
      <c r="I1636" s="13">
        <v>0</v>
      </c>
      <c r="J1636" s="13">
        <v>0</v>
      </c>
      <c r="K1636" s="14" t="str">
        <f>HYPERLINK("http://twitter.com","Twitter Web Client")</f>
        <v>Twitter Web Client</v>
      </c>
      <c r="L1636" s="13">
        <v>2965</v>
      </c>
      <c r="M1636" s="13">
        <v>2721</v>
      </c>
      <c r="N1636" s="13">
        <v>29</v>
      </c>
      <c r="O1636" s="15"/>
      <c r="P1636" s="6">
        <v>40709.431643518517</v>
      </c>
      <c r="Q1636" s="16" t="s">
        <v>4049</v>
      </c>
      <c r="R1636" s="17" t="s">
        <v>4050</v>
      </c>
      <c r="S1636" s="12"/>
      <c r="T1636" s="12"/>
      <c r="U1636" s="10" t="str">
        <f>HYPERLINK("https://pbs.twimg.com/profile_images/1056813208500084736/sDrB-J_a.jpg","View")</f>
        <v>View</v>
      </c>
    </row>
    <row r="1637" spans="1:21" ht="13.2">
      <c r="A1637" s="6">
        <v>43425.310949074075</v>
      </c>
      <c r="B1637" s="7" t="str">
        <f>HYPERLINK("https://twitter.com/JordiPedragosa","@JordiPedragosa")</f>
        <v>@JordiPedragosa</v>
      </c>
      <c r="C1637" s="8" t="s">
        <v>1165</v>
      </c>
      <c r="D1637" s="9" t="s">
        <v>6884</v>
      </c>
      <c r="E1637" s="10" t="str">
        <f>HYPERLINK("https://twitter.com/JordiPedragosa/status/1065129624802349056","1065129624802349056")</f>
        <v>1065129624802349056</v>
      </c>
      <c r="F1637" s="11" t="s">
        <v>3688</v>
      </c>
      <c r="G1637" s="12"/>
      <c r="H1637" s="12"/>
      <c r="I1637" s="13">
        <v>0</v>
      </c>
      <c r="J1637" s="13">
        <v>0</v>
      </c>
      <c r="K1637" s="14" t="str">
        <f t="shared" ref="K1637:K1638" si="334">HYPERLINK("http://www.facebook.com/twitter","Facebook")</f>
        <v>Facebook</v>
      </c>
      <c r="L1637" s="13">
        <v>366</v>
      </c>
      <c r="M1637" s="13">
        <v>332</v>
      </c>
      <c r="N1637" s="13">
        <v>25</v>
      </c>
      <c r="O1637" s="15"/>
      <c r="P1637" s="6">
        <v>40051.585787037038</v>
      </c>
      <c r="Q1637" s="16" t="s">
        <v>1168</v>
      </c>
      <c r="R1637" s="17" t="s">
        <v>1169</v>
      </c>
      <c r="S1637" s="12"/>
      <c r="T1637" s="12"/>
      <c r="U1637" s="10" t="str">
        <f>HYPERLINK("https://pbs.twimg.com/profile_images/994920393147408387/XCRTUlye.jpg","View")</f>
        <v>View</v>
      </c>
    </row>
    <row r="1638" spans="1:21" ht="20.399999999999999">
      <c r="A1638" s="6">
        <v>43425.305358796293</v>
      </c>
      <c r="B1638" s="7" t="str">
        <f>HYPERLINK("https://twitter.com/NunomanT","@NunomanT")</f>
        <v>@NunomanT</v>
      </c>
      <c r="C1638" s="8" t="s">
        <v>6885</v>
      </c>
      <c r="D1638" s="9" t="s">
        <v>1005</v>
      </c>
      <c r="E1638" s="10" t="str">
        <f>HYPERLINK("https://twitter.com/NunomanT/status/1065127598999707649","1065127598999707649")</f>
        <v>1065127598999707649</v>
      </c>
      <c r="F1638" s="11" t="s">
        <v>6886</v>
      </c>
      <c r="G1638" s="12"/>
      <c r="H1638" s="12"/>
      <c r="I1638" s="13">
        <v>0</v>
      </c>
      <c r="J1638" s="13">
        <v>0</v>
      </c>
      <c r="K1638" s="14" t="str">
        <f t="shared" si="334"/>
        <v>Facebook</v>
      </c>
      <c r="L1638" s="13">
        <v>57</v>
      </c>
      <c r="M1638" s="13">
        <v>226</v>
      </c>
      <c r="N1638" s="13">
        <v>4</v>
      </c>
      <c r="O1638" s="15"/>
      <c r="P1638" s="6">
        <v>41589.801678240743</v>
      </c>
      <c r="Q1638" s="16" t="s">
        <v>3785</v>
      </c>
      <c r="R1638" s="17" t="s">
        <v>6887</v>
      </c>
      <c r="S1638" s="12"/>
      <c r="T1638" s="12"/>
      <c r="U1638" s="10" t="str">
        <f>HYPERLINK("https://pbs.twimg.com/profile_images/378800000735213942/f5c8239c77f469209da10285c7d5076d.jpeg","View")</f>
        <v>View</v>
      </c>
    </row>
    <row r="1639" spans="1:21" ht="20.399999999999999">
      <c r="A1639" s="6">
        <v>43425.295069444444</v>
      </c>
      <c r="B1639" s="7" t="str">
        <f>HYPERLINK("https://twitter.com/jordimateu","@jordimateu")</f>
        <v>@jordimateu</v>
      </c>
      <c r="C1639" s="8" t="s">
        <v>4051</v>
      </c>
      <c r="D1639" s="9" t="s">
        <v>4052</v>
      </c>
      <c r="E1639" s="10" t="str">
        <f>HYPERLINK("https://twitter.com/jordimateu/status/1065123868828987392","1065123868828987392")</f>
        <v>1065123868828987392</v>
      </c>
      <c r="F1639" s="16" t="s">
        <v>1776</v>
      </c>
      <c r="G1639" s="12"/>
      <c r="H1639" s="12"/>
      <c r="I1639" s="13">
        <v>0</v>
      </c>
      <c r="J1639" s="13">
        <v>0</v>
      </c>
      <c r="K1639" s="14" t="str">
        <f>HYPERLINK("http://twitter.com/download/android","Twitter for Android")</f>
        <v>Twitter for Android</v>
      </c>
      <c r="L1639" s="13">
        <v>357</v>
      </c>
      <c r="M1639" s="13">
        <v>1091</v>
      </c>
      <c r="N1639" s="13">
        <v>18</v>
      </c>
      <c r="O1639" s="15"/>
      <c r="P1639" s="6">
        <v>40281.448761574073</v>
      </c>
      <c r="Q1639" s="16" t="s">
        <v>4055</v>
      </c>
      <c r="R1639" s="17" t="s">
        <v>4056</v>
      </c>
      <c r="S1639" s="12"/>
      <c r="T1639" s="12"/>
      <c r="U1639" s="10" t="str">
        <f>HYPERLINK("https://pbs.twimg.com/profile_images/935402616196141056/tG7wqSz_.jpg","View")</f>
        <v>View</v>
      </c>
    </row>
    <row r="1640" spans="1:21" ht="51">
      <c r="A1640" s="6">
        <v>43425.29305555555</v>
      </c>
      <c r="B1640" s="7" t="str">
        <f t="shared" ref="B1640:B1641" si="335">HYPERLINK("https://twitter.com/bitMomentum","@bitMomentum")</f>
        <v>@bitMomentum</v>
      </c>
      <c r="C1640" s="8" t="s">
        <v>706</v>
      </c>
      <c r="D1640" s="9" t="s">
        <v>4060</v>
      </c>
      <c r="E1640" s="10" t="str">
        <f>HYPERLINK("https://twitter.com/bitMomentum/status/1065123139615629312","1065123139615629312")</f>
        <v>1065123139615629312</v>
      </c>
      <c r="F1640" s="12"/>
      <c r="G1640" s="12"/>
      <c r="H1640" s="12"/>
      <c r="I1640" s="13">
        <v>0</v>
      </c>
      <c r="J1640" s="13">
        <v>0</v>
      </c>
      <c r="K1640" s="14" t="str">
        <f t="shared" ref="K1640:K1641" si="336">HYPERLINK("http://www.bitmomentum.com","bitMomentum Bot")</f>
        <v>bitMomentum Bot</v>
      </c>
      <c r="L1640" s="13">
        <v>10132</v>
      </c>
      <c r="M1640" s="13">
        <v>1060</v>
      </c>
      <c r="N1640" s="13">
        <v>262</v>
      </c>
      <c r="O1640" s="15"/>
      <c r="P1640" s="6">
        <v>41608.667511574073</v>
      </c>
      <c r="Q1640" s="12"/>
      <c r="R1640" s="17" t="s">
        <v>708</v>
      </c>
      <c r="S1640" s="11" t="s">
        <v>709</v>
      </c>
      <c r="T1640" s="12"/>
      <c r="U1640" s="10" t="str">
        <f t="shared" ref="U1640:U1641" si="337">HYPERLINK("https://pbs.twimg.com/profile_images/378800000862185241/20ij2H3u.png","View")</f>
        <v>View</v>
      </c>
    </row>
    <row r="1641" spans="1:21" ht="51">
      <c r="A1641" s="6">
        <v>43425.292361111111</v>
      </c>
      <c r="B1641" s="7" t="str">
        <f t="shared" si="335"/>
        <v>@bitMomentum</v>
      </c>
      <c r="C1641" s="8" t="s">
        <v>706</v>
      </c>
      <c r="D1641" s="9" t="s">
        <v>4065</v>
      </c>
      <c r="E1641" s="10" t="str">
        <f>HYPERLINK("https://twitter.com/bitMomentum/status/1065122887970037760","1065122887970037760")</f>
        <v>1065122887970037760</v>
      </c>
      <c r="F1641" s="12"/>
      <c r="G1641" s="12"/>
      <c r="H1641" s="12"/>
      <c r="I1641" s="13">
        <v>0</v>
      </c>
      <c r="J1641" s="13">
        <v>0</v>
      </c>
      <c r="K1641" s="14" t="str">
        <f t="shared" si="336"/>
        <v>bitMomentum Bot</v>
      </c>
      <c r="L1641" s="13">
        <v>10132</v>
      </c>
      <c r="M1641" s="13">
        <v>1060</v>
      </c>
      <c r="N1641" s="13">
        <v>262</v>
      </c>
      <c r="O1641" s="15"/>
      <c r="P1641" s="6">
        <v>41608.667511574073</v>
      </c>
      <c r="Q1641" s="12"/>
      <c r="R1641" s="17" t="s">
        <v>708</v>
      </c>
      <c r="S1641" s="11" t="s">
        <v>709</v>
      </c>
      <c r="T1641" s="12"/>
      <c r="U1641" s="10" t="str">
        <f t="shared" si="337"/>
        <v>View</v>
      </c>
    </row>
    <row r="1642" spans="1:21" ht="30.6">
      <c r="A1642" s="6">
        <v>43425.26561342593</v>
      </c>
      <c r="B1642" s="7" t="str">
        <f>HYPERLINK("https://twitter.com/RaulBator","@RaulBator")</f>
        <v>@RaulBator</v>
      </c>
      <c r="C1642" s="8" t="s">
        <v>6888</v>
      </c>
      <c r="D1642" s="9" t="s">
        <v>6889</v>
      </c>
      <c r="E1642" s="10" t="str">
        <f>HYPERLINK("https://twitter.com/RaulBator/status/1065113196799946752","1065113196799946752")</f>
        <v>1065113196799946752</v>
      </c>
      <c r="F1642" s="11" t="s">
        <v>6890</v>
      </c>
      <c r="G1642" s="12"/>
      <c r="H1642" s="12"/>
      <c r="I1642" s="13">
        <v>0</v>
      </c>
      <c r="J1642" s="13">
        <v>0</v>
      </c>
      <c r="K1642" s="14" t="str">
        <f>HYPERLINK("http://twitter.com/download/iphone","Twitter for iPhone")</f>
        <v>Twitter for iPhone</v>
      </c>
      <c r="L1642" s="13">
        <v>2067</v>
      </c>
      <c r="M1642" s="13">
        <v>1122</v>
      </c>
      <c r="N1642" s="13">
        <v>6</v>
      </c>
      <c r="O1642" s="15"/>
      <c r="P1642" s="6">
        <v>42395.336134259254</v>
      </c>
      <c r="Q1642" s="16" t="s">
        <v>6891</v>
      </c>
      <c r="R1642" s="17" t="s">
        <v>6892</v>
      </c>
      <c r="S1642" s="12"/>
      <c r="T1642" s="12"/>
      <c r="U1642" s="10" t="str">
        <f>HYPERLINK("https://pbs.twimg.com/profile_images/698176238159060992/IzjAQ4LA.jpg","View")</f>
        <v>View</v>
      </c>
    </row>
    <row r="1643" spans="1:21" ht="40.799999999999997">
      <c r="A1643" s="6">
        <v>43425.251388888893</v>
      </c>
      <c r="B1643" s="7" t="str">
        <f t="shared" ref="B1643:B1644" si="338">HYPERLINK("https://twitter.com/bitMomentum","@bitMomentum")</f>
        <v>@bitMomentum</v>
      </c>
      <c r="C1643" s="8" t="s">
        <v>706</v>
      </c>
      <c r="D1643" s="9" t="s">
        <v>4068</v>
      </c>
      <c r="E1643" s="10" t="str">
        <f>HYPERLINK("https://twitter.com/bitMomentum/status/1065108040079339520","1065108040079339520")</f>
        <v>1065108040079339520</v>
      </c>
      <c r="F1643" s="12"/>
      <c r="G1643" s="12"/>
      <c r="H1643" s="12"/>
      <c r="I1643" s="13">
        <v>0</v>
      </c>
      <c r="J1643" s="13">
        <v>0</v>
      </c>
      <c r="K1643" s="14" t="str">
        <f t="shared" ref="K1643:K1644" si="339">HYPERLINK("http://www.bitmomentum.com","bitMomentum Bot")</f>
        <v>bitMomentum Bot</v>
      </c>
      <c r="L1643" s="13">
        <v>10132</v>
      </c>
      <c r="M1643" s="13">
        <v>1060</v>
      </c>
      <c r="N1643" s="13">
        <v>262</v>
      </c>
      <c r="O1643" s="15"/>
      <c r="P1643" s="6">
        <v>41608.667511574073</v>
      </c>
      <c r="Q1643" s="12"/>
      <c r="R1643" s="17" t="s">
        <v>708</v>
      </c>
      <c r="S1643" s="11" t="s">
        <v>709</v>
      </c>
      <c r="T1643" s="12"/>
      <c r="U1643" s="10" t="str">
        <f t="shared" ref="U1643:U1644" si="340">HYPERLINK("https://pbs.twimg.com/profile_images/378800000862185241/20ij2H3u.png","View")</f>
        <v>View</v>
      </c>
    </row>
    <row r="1644" spans="1:21" ht="51">
      <c r="A1644" s="6">
        <v>43425.250694444447</v>
      </c>
      <c r="B1644" s="7" t="str">
        <f t="shared" si="338"/>
        <v>@bitMomentum</v>
      </c>
      <c r="C1644" s="8" t="s">
        <v>706</v>
      </c>
      <c r="D1644" s="9" t="s">
        <v>4072</v>
      </c>
      <c r="E1644" s="10" t="str">
        <f>HYPERLINK("https://twitter.com/bitMomentum/status/1065107788492353537","1065107788492353537")</f>
        <v>1065107788492353537</v>
      </c>
      <c r="F1644" s="12"/>
      <c r="G1644" s="12"/>
      <c r="H1644" s="12"/>
      <c r="I1644" s="13">
        <v>0</v>
      </c>
      <c r="J1644" s="13">
        <v>0</v>
      </c>
      <c r="K1644" s="14" t="str">
        <f t="shared" si="339"/>
        <v>bitMomentum Bot</v>
      </c>
      <c r="L1644" s="13">
        <v>10132</v>
      </c>
      <c r="M1644" s="13">
        <v>1060</v>
      </c>
      <c r="N1644" s="13">
        <v>262</v>
      </c>
      <c r="O1644" s="15"/>
      <c r="P1644" s="6">
        <v>41608.667511574073</v>
      </c>
      <c r="Q1644" s="12"/>
      <c r="R1644" s="17" t="s">
        <v>708</v>
      </c>
      <c r="S1644" s="11" t="s">
        <v>709</v>
      </c>
      <c r="T1644" s="12"/>
      <c r="U1644" s="10" t="str">
        <f t="shared" si="340"/>
        <v>View</v>
      </c>
    </row>
    <row r="1645" spans="1:21" ht="20.399999999999999">
      <c r="A1645" s="6">
        <v>43425.245208333334</v>
      </c>
      <c r="B1645" s="7" t="str">
        <f>HYPERLINK("https://twitter.com/tabarnians","@tabarnians")</f>
        <v>@tabarnians</v>
      </c>
      <c r="C1645" s="8" t="s">
        <v>4076</v>
      </c>
      <c r="D1645" s="9" t="s">
        <v>4077</v>
      </c>
      <c r="E1645" s="10" t="str">
        <f>HYPERLINK("https://twitter.com/tabarnians/status/1065105803441516544","1065105803441516544")</f>
        <v>1065105803441516544</v>
      </c>
      <c r="F1645" s="12"/>
      <c r="G1645" s="12"/>
      <c r="H1645" s="12"/>
      <c r="I1645" s="13">
        <v>0</v>
      </c>
      <c r="J1645" s="13">
        <v>1</v>
      </c>
      <c r="K1645" s="14" t="str">
        <f t="shared" ref="K1645:K1646" si="341">HYPERLINK("http://twitter.com/download/iphone","Twitter for iPhone")</f>
        <v>Twitter for iPhone</v>
      </c>
      <c r="L1645" s="13">
        <v>980</v>
      </c>
      <c r="M1645" s="13">
        <v>321</v>
      </c>
      <c r="N1645" s="13">
        <v>0</v>
      </c>
      <c r="O1645" s="15"/>
      <c r="P1645" s="6">
        <v>43100.446076388893</v>
      </c>
      <c r="Q1645" s="16" t="s">
        <v>4081</v>
      </c>
      <c r="R1645" s="17" t="s">
        <v>4082</v>
      </c>
      <c r="S1645" s="12"/>
      <c r="T1645" s="12"/>
      <c r="U1645" s="10" t="str">
        <f>HYPERLINK("https://pbs.twimg.com/profile_images/951394540426027008/Bu97fgPm.jpg","View")</f>
        <v>View</v>
      </c>
    </row>
    <row r="1646" spans="1:21" ht="30.6">
      <c r="A1646" s="6">
        <v>43425.212951388894</v>
      </c>
      <c r="B1646" s="7" t="str">
        <f>HYPERLINK("https://twitter.com/jaime042","@jaime042")</f>
        <v>@jaime042</v>
      </c>
      <c r="C1646" s="8" t="s">
        <v>6893</v>
      </c>
      <c r="D1646" s="9" t="s">
        <v>6894</v>
      </c>
      <c r="E1646" s="10" t="str">
        <f>HYPERLINK("https://twitter.com/jaime042/status/1065094110460223488","1065094110460223488")</f>
        <v>1065094110460223488</v>
      </c>
      <c r="F1646" s="12"/>
      <c r="G1646" s="12"/>
      <c r="H1646" s="12"/>
      <c r="I1646" s="13">
        <v>0</v>
      </c>
      <c r="J1646" s="13">
        <v>0</v>
      </c>
      <c r="K1646" s="14" t="str">
        <f t="shared" si="341"/>
        <v>Twitter for iPhone</v>
      </c>
      <c r="L1646" s="13">
        <v>210</v>
      </c>
      <c r="M1646" s="13">
        <v>206</v>
      </c>
      <c r="N1646" s="13">
        <v>0</v>
      </c>
      <c r="O1646" s="15"/>
      <c r="P1646" s="6">
        <v>40875.621400462966</v>
      </c>
      <c r="Q1646" s="12"/>
      <c r="R1646" s="17" t="s">
        <v>6895</v>
      </c>
      <c r="S1646" s="12"/>
      <c r="T1646" s="12"/>
      <c r="U1646" s="10" t="str">
        <f>HYPERLINK("https://pbs.twimg.com/profile_images/605119526368387073/7WyJY44I.jpg","View")</f>
        <v>View</v>
      </c>
    </row>
    <row r="1647" spans="1:21" ht="40.799999999999997">
      <c r="A1647" s="6">
        <v>43425.209722222222</v>
      </c>
      <c r="B1647" s="7" t="str">
        <f t="shared" ref="B1647:B1648" si="342">HYPERLINK("https://twitter.com/bitMomentum","@bitMomentum")</f>
        <v>@bitMomentum</v>
      </c>
      <c r="C1647" s="8" t="s">
        <v>706</v>
      </c>
      <c r="D1647" s="9" t="s">
        <v>4084</v>
      </c>
      <c r="E1647" s="10" t="str">
        <f>HYPERLINK("https://twitter.com/bitMomentum/status/1065092940626825217","1065092940626825217")</f>
        <v>1065092940626825217</v>
      </c>
      <c r="F1647" s="12"/>
      <c r="G1647" s="12"/>
      <c r="H1647" s="12"/>
      <c r="I1647" s="13">
        <v>0</v>
      </c>
      <c r="J1647" s="13">
        <v>0</v>
      </c>
      <c r="K1647" s="14" t="str">
        <f t="shared" ref="K1647:K1648" si="343">HYPERLINK("http://www.bitmomentum.com","bitMomentum Bot")</f>
        <v>bitMomentum Bot</v>
      </c>
      <c r="L1647" s="13">
        <v>10132</v>
      </c>
      <c r="M1647" s="13">
        <v>1060</v>
      </c>
      <c r="N1647" s="13">
        <v>262</v>
      </c>
      <c r="O1647" s="15"/>
      <c r="P1647" s="6">
        <v>41608.667511574073</v>
      </c>
      <c r="Q1647" s="12"/>
      <c r="R1647" s="17" t="s">
        <v>708</v>
      </c>
      <c r="S1647" s="11" t="s">
        <v>709</v>
      </c>
      <c r="T1647" s="12"/>
      <c r="U1647" s="10" t="str">
        <f t="shared" ref="U1647:U1648" si="344">HYPERLINK("https://pbs.twimg.com/profile_images/378800000862185241/20ij2H3u.png","View")</f>
        <v>View</v>
      </c>
    </row>
    <row r="1648" spans="1:21" ht="51">
      <c r="A1648" s="6">
        <v>43425.209027777775</v>
      </c>
      <c r="B1648" s="7" t="str">
        <f t="shared" si="342"/>
        <v>@bitMomentum</v>
      </c>
      <c r="C1648" s="8" t="s">
        <v>706</v>
      </c>
      <c r="D1648" s="9" t="s">
        <v>4090</v>
      </c>
      <c r="E1648" s="10" t="str">
        <f>HYPERLINK("https://twitter.com/bitMomentum/status/1065092688859545600","1065092688859545600")</f>
        <v>1065092688859545600</v>
      </c>
      <c r="F1648" s="12"/>
      <c r="G1648" s="12"/>
      <c r="H1648" s="12"/>
      <c r="I1648" s="13">
        <v>0</v>
      </c>
      <c r="J1648" s="13">
        <v>0</v>
      </c>
      <c r="K1648" s="14" t="str">
        <f t="shared" si="343"/>
        <v>bitMomentum Bot</v>
      </c>
      <c r="L1648" s="13">
        <v>10132</v>
      </c>
      <c r="M1648" s="13">
        <v>1060</v>
      </c>
      <c r="N1648" s="13">
        <v>262</v>
      </c>
      <c r="O1648" s="15"/>
      <c r="P1648" s="6">
        <v>41608.667511574073</v>
      </c>
      <c r="Q1648" s="12"/>
      <c r="R1648" s="17" t="s">
        <v>708</v>
      </c>
      <c r="S1648" s="11" t="s">
        <v>709</v>
      </c>
      <c r="T1648" s="12"/>
      <c r="U1648" s="10" t="str">
        <f t="shared" si="344"/>
        <v>View</v>
      </c>
    </row>
    <row r="1649" spans="1:21" ht="30.6">
      <c r="A1649" s="6">
        <v>43425.188287037032</v>
      </c>
      <c r="B1649" s="7" t="str">
        <f>HYPERLINK("https://twitter.com/pallaron12","@pallaron12")</f>
        <v>@pallaron12</v>
      </c>
      <c r="C1649" s="8" t="s">
        <v>4898</v>
      </c>
      <c r="D1649" s="9" t="s">
        <v>6896</v>
      </c>
      <c r="E1649" s="10" t="str">
        <f>HYPERLINK("https://twitter.com/pallaron12/status/1065085175183409153","1065085175183409153")</f>
        <v>1065085175183409153</v>
      </c>
      <c r="F1649" s="11" t="s">
        <v>5034</v>
      </c>
      <c r="G1649" s="12"/>
      <c r="H1649" s="12"/>
      <c r="I1649" s="13">
        <v>0</v>
      </c>
      <c r="J1649" s="13">
        <v>0</v>
      </c>
      <c r="K1649" s="14" t="str">
        <f>HYPERLINK("http://twitter.com/download/android","Twitter for Android")</f>
        <v>Twitter for Android</v>
      </c>
      <c r="L1649" s="13">
        <v>1412</v>
      </c>
      <c r="M1649" s="13">
        <v>501</v>
      </c>
      <c r="N1649" s="13">
        <v>8</v>
      </c>
      <c r="O1649" s="15"/>
      <c r="P1649" s="6">
        <v>41854.66134259259</v>
      </c>
      <c r="Q1649" s="16" t="s">
        <v>4903</v>
      </c>
      <c r="R1649" s="17" t="s">
        <v>4904</v>
      </c>
      <c r="S1649" s="12"/>
      <c r="T1649" s="12"/>
      <c r="U1649" s="10" t="str">
        <f>HYPERLINK("https://pbs.twimg.com/profile_images/1064713832633896961/NkwZ7D9D.jpg","View")</f>
        <v>View</v>
      </c>
    </row>
    <row r="1650" spans="1:21" ht="51">
      <c r="A1650" s="6">
        <v>43425.16805555555</v>
      </c>
      <c r="B1650" s="7" t="str">
        <f t="shared" ref="B1650:B1651" si="345">HYPERLINK("https://twitter.com/bitMomentum","@bitMomentum")</f>
        <v>@bitMomentum</v>
      </c>
      <c r="C1650" s="8" t="s">
        <v>706</v>
      </c>
      <c r="D1650" s="9" t="s">
        <v>4093</v>
      </c>
      <c r="E1650" s="10" t="str">
        <f>HYPERLINK("https://twitter.com/bitMomentum/status/1065077841098878976","1065077841098878976")</f>
        <v>1065077841098878976</v>
      </c>
      <c r="F1650" s="12"/>
      <c r="G1650" s="12"/>
      <c r="H1650" s="12"/>
      <c r="I1650" s="13">
        <v>0</v>
      </c>
      <c r="J1650" s="13">
        <v>0</v>
      </c>
      <c r="K1650" s="14" t="str">
        <f t="shared" ref="K1650:K1651" si="346">HYPERLINK("http://www.bitmomentum.com","bitMomentum Bot")</f>
        <v>bitMomentum Bot</v>
      </c>
      <c r="L1650" s="13">
        <v>10132</v>
      </c>
      <c r="M1650" s="13">
        <v>1060</v>
      </c>
      <c r="N1650" s="13">
        <v>262</v>
      </c>
      <c r="O1650" s="15"/>
      <c r="P1650" s="6">
        <v>41608.667511574073</v>
      </c>
      <c r="Q1650" s="12"/>
      <c r="R1650" s="17" t="s">
        <v>708</v>
      </c>
      <c r="S1650" s="11" t="s">
        <v>709</v>
      </c>
      <c r="T1650" s="12"/>
      <c r="U1650" s="10" t="str">
        <f t="shared" ref="U1650:U1651" si="347">HYPERLINK("https://pbs.twimg.com/profile_images/378800000862185241/20ij2H3u.png","View")</f>
        <v>View</v>
      </c>
    </row>
    <row r="1651" spans="1:21" ht="51">
      <c r="A1651" s="6">
        <v>43425.167361111111</v>
      </c>
      <c r="B1651" s="7" t="str">
        <f t="shared" si="345"/>
        <v>@bitMomentum</v>
      </c>
      <c r="C1651" s="8" t="s">
        <v>706</v>
      </c>
      <c r="D1651" s="9" t="s">
        <v>4097</v>
      </c>
      <c r="E1651" s="10" t="str">
        <f>HYPERLINK("https://twitter.com/bitMomentum/status/1065077589440638976","1065077589440638976")</f>
        <v>1065077589440638976</v>
      </c>
      <c r="F1651" s="12"/>
      <c r="G1651" s="12"/>
      <c r="H1651" s="12"/>
      <c r="I1651" s="13">
        <v>0</v>
      </c>
      <c r="J1651" s="13">
        <v>0</v>
      </c>
      <c r="K1651" s="14" t="str">
        <f t="shared" si="346"/>
        <v>bitMomentum Bot</v>
      </c>
      <c r="L1651" s="13">
        <v>10132</v>
      </c>
      <c r="M1651" s="13">
        <v>1060</v>
      </c>
      <c r="N1651" s="13">
        <v>262</v>
      </c>
      <c r="O1651" s="15"/>
      <c r="P1651" s="6">
        <v>41608.667511574073</v>
      </c>
      <c r="Q1651" s="12"/>
      <c r="R1651" s="17" t="s">
        <v>708</v>
      </c>
      <c r="S1651" s="11" t="s">
        <v>709</v>
      </c>
      <c r="T1651" s="12"/>
      <c r="U1651" s="10" t="str">
        <f t="shared" si="347"/>
        <v>View</v>
      </c>
    </row>
    <row r="1652" spans="1:21" ht="20.399999999999999">
      <c r="A1652" s="6">
        <v>43425.138888888891</v>
      </c>
      <c r="B1652" s="7" t="str">
        <f>HYPERLINK("https://twitter.com/Robo_Rabbit","@Robo_Rabbit")</f>
        <v>@Robo_Rabbit</v>
      </c>
      <c r="C1652" s="8" t="s">
        <v>6897</v>
      </c>
      <c r="D1652" s="9" t="s">
        <v>6898</v>
      </c>
      <c r="E1652" s="10" t="str">
        <f>HYPERLINK("https://twitter.com/Robo_Rabbit/status/1065067273340297218","1065067273340297218")</f>
        <v>1065067273340297218</v>
      </c>
      <c r="F1652" s="12"/>
      <c r="G1652" s="12"/>
      <c r="H1652" s="12"/>
      <c r="I1652" s="13">
        <v>0</v>
      </c>
      <c r="J1652" s="13">
        <v>3</v>
      </c>
      <c r="K1652" s="14" t="str">
        <f>HYPERLINK("http://twitter.com","Twitter Web Client")</f>
        <v>Twitter Web Client</v>
      </c>
      <c r="L1652" s="13">
        <v>107</v>
      </c>
      <c r="M1652" s="13">
        <v>414</v>
      </c>
      <c r="N1652" s="13">
        <v>1</v>
      </c>
      <c r="O1652" s="15"/>
      <c r="P1652" s="6">
        <v>40824.682800925926</v>
      </c>
      <c r="Q1652" s="12"/>
      <c r="R1652" s="19"/>
      <c r="S1652" s="12"/>
      <c r="T1652" s="12"/>
      <c r="U1652" s="10" t="str">
        <f>HYPERLINK("https://pbs.twimg.com/profile_images/1578342478/ROBOT_RABBIT_D.jpg","View")</f>
        <v>View</v>
      </c>
    </row>
    <row r="1653" spans="1:21" ht="51">
      <c r="A1653" s="6">
        <v>43425.126388888893</v>
      </c>
      <c r="B1653" s="7" t="str">
        <f t="shared" ref="B1653:B1654" si="348">HYPERLINK("https://twitter.com/bitMomentum","@bitMomentum")</f>
        <v>@bitMomentum</v>
      </c>
      <c r="C1653" s="8" t="s">
        <v>706</v>
      </c>
      <c r="D1653" s="9" t="s">
        <v>4101</v>
      </c>
      <c r="E1653" s="10" t="str">
        <f>HYPERLINK("https://twitter.com/bitMomentum/status/1065062741428326400","1065062741428326400")</f>
        <v>1065062741428326400</v>
      </c>
      <c r="F1653" s="12"/>
      <c r="G1653" s="12"/>
      <c r="H1653" s="12"/>
      <c r="I1653" s="13">
        <v>0</v>
      </c>
      <c r="J1653" s="13">
        <v>0</v>
      </c>
      <c r="K1653" s="14" t="str">
        <f t="shared" ref="K1653:K1654" si="349">HYPERLINK("http://www.bitmomentum.com","bitMomentum Bot")</f>
        <v>bitMomentum Bot</v>
      </c>
      <c r="L1653" s="13">
        <v>10132</v>
      </c>
      <c r="M1653" s="13">
        <v>1060</v>
      </c>
      <c r="N1653" s="13">
        <v>262</v>
      </c>
      <c r="O1653" s="15"/>
      <c r="P1653" s="6">
        <v>41608.667511574073</v>
      </c>
      <c r="Q1653" s="12"/>
      <c r="R1653" s="17" t="s">
        <v>708</v>
      </c>
      <c r="S1653" s="11" t="s">
        <v>709</v>
      </c>
      <c r="T1653" s="12"/>
      <c r="U1653" s="10" t="str">
        <f t="shared" ref="U1653:U1654" si="350">HYPERLINK("https://pbs.twimg.com/profile_images/378800000862185241/20ij2H3u.png","View")</f>
        <v>View</v>
      </c>
    </row>
    <row r="1654" spans="1:21" ht="51">
      <c r="A1654" s="6">
        <v>43425.125694444447</v>
      </c>
      <c r="B1654" s="7" t="str">
        <f t="shared" si="348"/>
        <v>@bitMomentum</v>
      </c>
      <c r="C1654" s="8" t="s">
        <v>706</v>
      </c>
      <c r="D1654" s="9" t="s">
        <v>4102</v>
      </c>
      <c r="E1654" s="10" t="str">
        <f>HYPERLINK("https://twitter.com/bitMomentum/status/1065062489866543104","1065062489866543104")</f>
        <v>1065062489866543104</v>
      </c>
      <c r="F1654" s="12"/>
      <c r="G1654" s="12"/>
      <c r="H1654" s="12"/>
      <c r="I1654" s="13">
        <v>0</v>
      </c>
      <c r="J1654" s="13">
        <v>0</v>
      </c>
      <c r="K1654" s="14" t="str">
        <f t="shared" si="349"/>
        <v>bitMomentum Bot</v>
      </c>
      <c r="L1654" s="13">
        <v>10132</v>
      </c>
      <c r="M1654" s="13">
        <v>1060</v>
      </c>
      <c r="N1654" s="13">
        <v>262</v>
      </c>
      <c r="O1654" s="15"/>
      <c r="P1654" s="6">
        <v>41608.667511574073</v>
      </c>
      <c r="Q1654" s="12"/>
      <c r="R1654" s="17" t="s">
        <v>708</v>
      </c>
      <c r="S1654" s="11" t="s">
        <v>709</v>
      </c>
      <c r="T1654" s="12"/>
      <c r="U1654" s="10" t="str">
        <f t="shared" si="350"/>
        <v>View</v>
      </c>
    </row>
    <row r="1655" spans="1:21" ht="30.6">
      <c r="A1655" s="6">
        <v>43425.125046296293</v>
      </c>
      <c r="B1655" s="7" t="str">
        <f>HYPERLINK("https://twitter.com/GranCanariaTv","@GranCanariaTv")</f>
        <v>@GranCanariaTv</v>
      </c>
      <c r="C1655" s="8" t="s">
        <v>6899</v>
      </c>
      <c r="D1655" s="9" t="s">
        <v>6900</v>
      </c>
      <c r="E1655" s="10" t="str">
        <f>HYPERLINK("https://twitter.com/GranCanariaTv/status/1065062257187528705","1065062257187528705")</f>
        <v>1065062257187528705</v>
      </c>
      <c r="F1655" s="11" t="s">
        <v>6901</v>
      </c>
      <c r="G1655" s="12"/>
      <c r="H1655" s="12"/>
      <c r="I1655" s="13">
        <v>0</v>
      </c>
      <c r="J1655" s="13">
        <v>0</v>
      </c>
      <c r="K1655" s="14" t="str">
        <f>HYPERLINK("http://twitter.com","Twitter Web Client")</f>
        <v>Twitter Web Client</v>
      </c>
      <c r="L1655" s="13">
        <v>5000</v>
      </c>
      <c r="M1655" s="13">
        <v>3356</v>
      </c>
      <c r="N1655" s="13">
        <v>99</v>
      </c>
      <c r="O1655" s="15"/>
      <c r="P1655" s="6">
        <v>40504.989155092597</v>
      </c>
      <c r="Q1655" s="16" t="s">
        <v>1345</v>
      </c>
      <c r="R1655" s="17" t="s">
        <v>6902</v>
      </c>
      <c r="S1655" s="11" t="s">
        <v>6903</v>
      </c>
      <c r="T1655" s="12"/>
      <c r="U1655" s="10" t="str">
        <f>HYPERLINK("https://pbs.twimg.com/profile_images/728335785527758848/RP6AGTBc.jpg","View")</f>
        <v>View</v>
      </c>
    </row>
    <row r="1656" spans="1:21" ht="30.6">
      <c r="A1656" s="6">
        <v>43425.120833333334</v>
      </c>
      <c r="B1656" s="7" t="str">
        <f>HYPERLINK("https://twitter.com/MiFutbol5","@MiFutbol5")</f>
        <v>@MiFutbol5</v>
      </c>
      <c r="C1656" s="8" t="s">
        <v>6904</v>
      </c>
      <c r="D1656" s="9" t="s">
        <v>6905</v>
      </c>
      <c r="E1656" s="10" t="str">
        <f>HYPERLINK("https://twitter.com/MiFutbol5/status/1065060730343514114","1065060730343514114")</f>
        <v>1065060730343514114</v>
      </c>
      <c r="F1656" s="12"/>
      <c r="G1656" s="11" t="s">
        <v>6906</v>
      </c>
      <c r="H1656" s="12"/>
      <c r="I1656" s="13">
        <v>0</v>
      </c>
      <c r="J1656" s="13">
        <v>1</v>
      </c>
      <c r="K1656" s="14" t="str">
        <f>HYPERLINK("http://twitter.com/download/iphone","Twitter for iPhone")</f>
        <v>Twitter for iPhone</v>
      </c>
      <c r="L1656" s="13">
        <v>2645</v>
      </c>
      <c r="M1656" s="13">
        <v>1034</v>
      </c>
      <c r="N1656" s="13">
        <v>19</v>
      </c>
      <c r="O1656" s="15"/>
      <c r="P1656" s="6">
        <v>43122.90006944444</v>
      </c>
      <c r="Q1656" s="16" t="s">
        <v>6907</v>
      </c>
      <c r="R1656" s="17" t="s">
        <v>6908</v>
      </c>
      <c r="S1656" s="11" t="s">
        <v>6909</v>
      </c>
      <c r="T1656" s="12"/>
      <c r="U1656" s="10" t="str">
        <f>HYPERLINK("https://pbs.twimg.com/profile_images/1042159292567048192/2ytUcFfV.jpg","View")</f>
        <v>View</v>
      </c>
    </row>
    <row r="1657" spans="1:21" ht="30.6">
      <c r="A1657" s="6">
        <v>43425.114583333328</v>
      </c>
      <c r="B1657" s="7" t="str">
        <f>HYPERLINK("https://twitter.com/ElHuffPost","@ElHuffPost")</f>
        <v>@ElHuffPost</v>
      </c>
      <c r="C1657" s="8" t="s">
        <v>6203</v>
      </c>
      <c r="D1657" s="9" t="s">
        <v>6204</v>
      </c>
      <c r="E1657" s="10" t="str">
        <f>HYPERLINK("https://twitter.com/ElHuffPost/status/1065058464500772864","1065058464500772864")</f>
        <v>1065058464500772864</v>
      </c>
      <c r="F1657" s="11" t="s">
        <v>1709</v>
      </c>
      <c r="G1657" s="12"/>
      <c r="H1657" s="12"/>
      <c r="I1657" s="13">
        <v>0</v>
      </c>
      <c r="J1657" s="13">
        <v>1</v>
      </c>
      <c r="K1657" s="14" t="str">
        <f>HYPERLINK("https://about.twitter.com/products/tweetdeck","TweetDeck")</f>
        <v>TweetDeck</v>
      </c>
      <c r="L1657" s="13">
        <v>430324</v>
      </c>
      <c r="M1657" s="13">
        <v>1532</v>
      </c>
      <c r="N1657" s="13">
        <v>8188</v>
      </c>
      <c r="O1657" s="18" t="s">
        <v>36</v>
      </c>
      <c r="P1657" s="6">
        <v>40785.027118055557</v>
      </c>
      <c r="Q1657" s="16" t="s">
        <v>440</v>
      </c>
      <c r="R1657" s="17" t="s">
        <v>6205</v>
      </c>
      <c r="S1657" s="11" t="s">
        <v>6206</v>
      </c>
      <c r="T1657" s="12"/>
      <c r="U1657" s="10" t="str">
        <f>HYPERLINK("https://pbs.twimg.com/profile_images/921140803422089217/ETOEUOAx.jpg","View")</f>
        <v>View</v>
      </c>
    </row>
    <row r="1658" spans="1:21" ht="112.2">
      <c r="A1658" s="6">
        <v>43425.106990740736</v>
      </c>
      <c r="B1658" s="7" t="str">
        <f>HYPERLINK("https://twitter.com/LuisBatteman","@LuisBatteman")</f>
        <v>@LuisBatteman</v>
      </c>
      <c r="C1658" s="8" t="s">
        <v>769</v>
      </c>
      <c r="D1658" s="9" t="s">
        <v>4105</v>
      </c>
      <c r="E1658" s="10" t="str">
        <f>HYPERLINK("https://twitter.com/LuisBatteman/status/1065055715436449792","1065055715436449792")</f>
        <v>1065055715436449792</v>
      </c>
      <c r="F1658" s="11" t="s">
        <v>4107</v>
      </c>
      <c r="G1658" s="11" t="s">
        <v>4108</v>
      </c>
      <c r="H1658" s="12"/>
      <c r="I1658" s="13">
        <v>1</v>
      </c>
      <c r="J1658" s="13">
        <v>0</v>
      </c>
      <c r="K1658" s="14" t="str">
        <f>HYPERLINK("http://twitter.com/download/android","Twitter for Android")</f>
        <v>Twitter for Android</v>
      </c>
      <c r="L1658" s="13">
        <v>1731</v>
      </c>
      <c r="M1658" s="13">
        <v>2195</v>
      </c>
      <c r="N1658" s="13">
        <v>31</v>
      </c>
      <c r="O1658" s="15"/>
      <c r="P1658" s="6">
        <v>40122.007476851853</v>
      </c>
      <c r="Q1658" s="16" t="s">
        <v>774</v>
      </c>
      <c r="R1658" s="17" t="s">
        <v>775</v>
      </c>
      <c r="S1658" s="12"/>
      <c r="T1658" s="12"/>
      <c r="U1658" s="10" t="str">
        <f>HYPERLINK("https://pbs.twimg.com/profile_images/730904453025546242/36bcf-X7.jpg","View")</f>
        <v>View</v>
      </c>
    </row>
    <row r="1659" spans="1:21" ht="40.799999999999997">
      <c r="A1659" s="6">
        <v>43425.098692129628</v>
      </c>
      <c r="B1659" s="7" t="str">
        <f>HYPERLINK("https://twitter.com/senyCatala2","@senyCatala2")</f>
        <v>@senyCatala2</v>
      </c>
      <c r="C1659" s="8" t="s">
        <v>6910</v>
      </c>
      <c r="D1659" s="9" t="s">
        <v>6911</v>
      </c>
      <c r="E1659" s="10" t="str">
        <f>HYPERLINK("https://twitter.com/senyCatala2/status/1065052704945389569","1065052704945389569")</f>
        <v>1065052704945389569</v>
      </c>
      <c r="F1659" s="11" t="s">
        <v>6912</v>
      </c>
      <c r="G1659" s="12"/>
      <c r="H1659" s="12"/>
      <c r="I1659" s="13">
        <v>0</v>
      </c>
      <c r="J1659" s="13">
        <v>0</v>
      </c>
      <c r="K1659" s="14" t="str">
        <f>HYPERLINK("https://www.google.com/","Google")</f>
        <v>Google</v>
      </c>
      <c r="L1659" s="13">
        <v>279</v>
      </c>
      <c r="M1659" s="13">
        <v>279</v>
      </c>
      <c r="N1659" s="13">
        <v>0</v>
      </c>
      <c r="O1659" s="15"/>
      <c r="P1659" s="6">
        <v>43181.750150462962</v>
      </c>
      <c r="Q1659" s="16" t="s">
        <v>207</v>
      </c>
      <c r="R1659" s="17" t="s">
        <v>6913</v>
      </c>
      <c r="S1659" s="11" t="s">
        <v>6914</v>
      </c>
      <c r="T1659" s="12"/>
      <c r="U1659" s="10" t="str">
        <f>HYPERLINK("https://pbs.twimg.com/profile_images/1063457833851777026/xEIgLwii.jpg","View")</f>
        <v>View</v>
      </c>
    </row>
    <row r="1660" spans="1:21" ht="40.799999999999997">
      <c r="A1660" s="6">
        <v>43425.098483796297</v>
      </c>
      <c r="B1660" s="7" t="str">
        <f>HYPERLINK("https://twitter.com/enriquedediegov","@enriquedediegov")</f>
        <v>@enriquedediegov</v>
      </c>
      <c r="C1660" s="8" t="s">
        <v>6915</v>
      </c>
      <c r="D1660" s="9" t="s">
        <v>6916</v>
      </c>
      <c r="E1660" s="10" t="str">
        <f>HYPERLINK("https://twitter.com/enriquedediegov/status/1065052631104507904","1065052631104507904")</f>
        <v>1065052631104507904</v>
      </c>
      <c r="F1660" s="11" t="s">
        <v>6917</v>
      </c>
      <c r="G1660" s="11" t="s">
        <v>6918</v>
      </c>
      <c r="H1660" s="12"/>
      <c r="I1660" s="13">
        <v>0</v>
      </c>
      <c r="J1660" s="13">
        <v>1</v>
      </c>
      <c r="K1660" s="14" t="str">
        <f>HYPERLINK("https://dlvrit.com/","dlvr.it")</f>
        <v>dlvr.it</v>
      </c>
      <c r="L1660" s="13">
        <v>7717</v>
      </c>
      <c r="M1660" s="13">
        <v>6025</v>
      </c>
      <c r="N1660" s="13">
        <v>180</v>
      </c>
      <c r="O1660" s="15"/>
      <c r="P1660" s="6">
        <v>41293.717129629629</v>
      </c>
      <c r="Q1660" s="16" t="s">
        <v>37</v>
      </c>
      <c r="R1660" s="17" t="s">
        <v>6919</v>
      </c>
      <c r="S1660" s="11" t="s">
        <v>6920</v>
      </c>
      <c r="T1660" s="12"/>
      <c r="U1660" s="10" t="str">
        <f>HYPERLINK("https://pbs.twimg.com/profile_images/3129623790/4ae197d01442e05dee4622297c3b9642.jpeg","View")</f>
        <v>View</v>
      </c>
    </row>
    <row r="1661" spans="1:21" ht="40.799999999999997">
      <c r="A1661" s="6">
        <v>43425.097754629634</v>
      </c>
      <c r="B1661" s="7" t="str">
        <f>HYPERLINK("https://twitter.com/TercioHispanico","@TercioHispanico")</f>
        <v>@TercioHispanico</v>
      </c>
      <c r="C1661" s="8" t="s">
        <v>1730</v>
      </c>
      <c r="D1661" s="9" t="s">
        <v>6921</v>
      </c>
      <c r="E1661" s="10" t="str">
        <f>HYPERLINK("https://twitter.com/TercioHispanico/status/1065052365928259584","1065052365928259584")</f>
        <v>1065052365928259584</v>
      </c>
      <c r="F1661" s="11" t="s">
        <v>6922</v>
      </c>
      <c r="G1661" s="12"/>
      <c r="H1661" s="12"/>
      <c r="I1661" s="13">
        <v>0</v>
      </c>
      <c r="J1661" s="13">
        <v>0</v>
      </c>
      <c r="K1661" s="14" t="str">
        <f>HYPERLINK("https://diariorc.com","Tercio Hispánico App C")</f>
        <v>Tercio Hispánico App C</v>
      </c>
      <c r="L1661" s="13">
        <v>1463</v>
      </c>
      <c r="M1661" s="13">
        <v>1448</v>
      </c>
      <c r="N1661" s="13">
        <v>3</v>
      </c>
      <c r="O1661" s="15"/>
      <c r="P1661" s="6">
        <v>43074.817384259259</v>
      </c>
      <c r="Q1661" s="16" t="s">
        <v>37</v>
      </c>
      <c r="R1661" s="17" t="s">
        <v>1733</v>
      </c>
      <c r="S1661" s="12"/>
      <c r="T1661" s="12"/>
      <c r="U1661" s="10" t="str">
        <f>HYPERLINK("https://pbs.twimg.com/profile_images/938810411045941249/GJ1yq9OJ.jpg","View")</f>
        <v>View</v>
      </c>
    </row>
    <row r="1662" spans="1:21" ht="40.799999999999997">
      <c r="A1662" s="6">
        <v>43425.09275462963</v>
      </c>
      <c r="B1662" s="7" t="str">
        <f>HYPERLINK("https://twitter.com/AdeSiracusa","@AdeSiracusa")</f>
        <v>@AdeSiracusa</v>
      </c>
      <c r="C1662" s="8" t="s">
        <v>3946</v>
      </c>
      <c r="D1662" s="9" t="s">
        <v>6923</v>
      </c>
      <c r="E1662" s="10" t="str">
        <f>HYPERLINK("https://twitter.com/AdeSiracusa/status/1065050556358643712","1065050556358643712")</f>
        <v>1065050556358643712</v>
      </c>
      <c r="F1662" s="11" t="s">
        <v>6924</v>
      </c>
      <c r="G1662" s="12"/>
      <c r="H1662" s="12"/>
      <c r="I1662" s="13">
        <v>0</v>
      </c>
      <c r="J1662" s="13">
        <v>0</v>
      </c>
      <c r="K1662" s="14" t="str">
        <f>HYPERLINK("http://www.republicosvenezuela.com/","AdeSiracusa")</f>
        <v>AdeSiracusa</v>
      </c>
      <c r="L1662" s="13">
        <v>3920</v>
      </c>
      <c r="M1662" s="13">
        <v>3927</v>
      </c>
      <c r="N1662" s="13">
        <v>12</v>
      </c>
      <c r="O1662" s="15"/>
      <c r="P1662" s="6">
        <v>42958.576388888891</v>
      </c>
      <c r="Q1662" s="16" t="s">
        <v>978</v>
      </c>
      <c r="R1662" s="17" t="s">
        <v>3950</v>
      </c>
      <c r="S1662" s="12"/>
      <c r="T1662" s="12"/>
      <c r="U1662" s="10" t="str">
        <f>HYPERLINK("https://pbs.twimg.com/profile_images/895978354591105024/x2wNXrPl.jpg","View")</f>
        <v>View</v>
      </c>
    </row>
    <row r="1663" spans="1:21" ht="20.399999999999999">
      <c r="A1663" s="6">
        <v>43425.091793981483</v>
      </c>
      <c r="B1663" s="7" t="str">
        <f>HYPERLINK("https://twitter.com/SalgotJa","@SalgotJa")</f>
        <v>@SalgotJa</v>
      </c>
      <c r="C1663" s="8" t="s">
        <v>6925</v>
      </c>
      <c r="D1663" s="9" t="s">
        <v>6541</v>
      </c>
      <c r="E1663" s="10" t="str">
        <f>HYPERLINK("https://twitter.com/SalgotJa/status/1065050206755016704","1065050206755016704")</f>
        <v>1065050206755016704</v>
      </c>
      <c r="F1663" s="11" t="s">
        <v>6926</v>
      </c>
      <c r="G1663" s="12"/>
      <c r="H1663" s="12"/>
      <c r="I1663" s="13">
        <v>0</v>
      </c>
      <c r="J1663" s="13">
        <v>0</v>
      </c>
      <c r="K1663" s="14" t="str">
        <f>HYPERLINK("http://www.facebook.com/twitter","Facebook")</f>
        <v>Facebook</v>
      </c>
      <c r="L1663" s="13">
        <v>12</v>
      </c>
      <c r="M1663" s="13">
        <v>226</v>
      </c>
      <c r="N1663" s="13">
        <v>0</v>
      </c>
      <c r="O1663" s="15"/>
      <c r="P1663" s="6">
        <v>40697.149421296301</v>
      </c>
      <c r="Q1663" s="12"/>
      <c r="R1663" s="19"/>
      <c r="S1663" s="12"/>
      <c r="T1663" s="12"/>
      <c r="U1663" s="10" t="str">
        <f>HYPERLINK("https://pbs.twimg.com/profile_images/898724014306283520/_8WF97Im.jpg","View")</f>
        <v>View</v>
      </c>
    </row>
    <row r="1664" spans="1:21" ht="51">
      <c r="A1664" s="6">
        <v>43425.084722222222</v>
      </c>
      <c r="B1664" s="7" t="str">
        <f t="shared" ref="B1664:B1665" si="351">HYPERLINK("https://twitter.com/bitMomentum","@bitMomentum")</f>
        <v>@bitMomentum</v>
      </c>
      <c r="C1664" s="8" t="s">
        <v>706</v>
      </c>
      <c r="D1664" s="9" t="s">
        <v>4112</v>
      </c>
      <c r="E1664" s="10" t="str">
        <f>HYPERLINK("https://twitter.com/bitMomentum/status/1065047642101751813","1065047642101751813")</f>
        <v>1065047642101751813</v>
      </c>
      <c r="F1664" s="12"/>
      <c r="G1664" s="12"/>
      <c r="H1664" s="12"/>
      <c r="I1664" s="13">
        <v>0</v>
      </c>
      <c r="J1664" s="13">
        <v>0</v>
      </c>
      <c r="K1664" s="14" t="str">
        <f t="shared" ref="K1664:K1665" si="352">HYPERLINK("http://www.bitmomentum.com","bitMomentum Bot")</f>
        <v>bitMomentum Bot</v>
      </c>
      <c r="L1664" s="13">
        <v>10132</v>
      </c>
      <c r="M1664" s="13">
        <v>1060</v>
      </c>
      <c r="N1664" s="13">
        <v>262</v>
      </c>
      <c r="O1664" s="15"/>
      <c r="P1664" s="6">
        <v>41608.667511574073</v>
      </c>
      <c r="Q1664" s="12"/>
      <c r="R1664" s="17" t="s">
        <v>708</v>
      </c>
      <c r="S1664" s="11" t="s">
        <v>709</v>
      </c>
      <c r="T1664" s="12"/>
      <c r="U1664" s="10" t="str">
        <f t="shared" ref="U1664:U1665" si="353">HYPERLINK("https://pbs.twimg.com/profile_images/378800000862185241/20ij2H3u.png","View")</f>
        <v>View</v>
      </c>
    </row>
    <row r="1665" spans="1:21" ht="51">
      <c r="A1665" s="6">
        <v>43425.084027777775</v>
      </c>
      <c r="B1665" s="7" t="str">
        <f t="shared" si="351"/>
        <v>@bitMomentum</v>
      </c>
      <c r="C1665" s="8" t="s">
        <v>706</v>
      </c>
      <c r="D1665" s="9" t="s">
        <v>4113</v>
      </c>
      <c r="E1665" s="10" t="str">
        <f>HYPERLINK("https://twitter.com/bitMomentum/status/1065047390351237120","1065047390351237120")</f>
        <v>1065047390351237120</v>
      </c>
      <c r="F1665" s="12"/>
      <c r="G1665" s="12"/>
      <c r="H1665" s="12"/>
      <c r="I1665" s="13">
        <v>0</v>
      </c>
      <c r="J1665" s="13">
        <v>0</v>
      </c>
      <c r="K1665" s="14" t="str">
        <f t="shared" si="352"/>
        <v>bitMomentum Bot</v>
      </c>
      <c r="L1665" s="13">
        <v>10132</v>
      </c>
      <c r="M1665" s="13">
        <v>1060</v>
      </c>
      <c r="N1665" s="13">
        <v>262</v>
      </c>
      <c r="O1665" s="15"/>
      <c r="P1665" s="6">
        <v>41608.667511574073</v>
      </c>
      <c r="Q1665" s="12"/>
      <c r="R1665" s="17" t="s">
        <v>708</v>
      </c>
      <c r="S1665" s="11" t="s">
        <v>709</v>
      </c>
      <c r="T1665" s="12"/>
      <c r="U1665" s="10" t="str">
        <f t="shared" si="353"/>
        <v>View</v>
      </c>
    </row>
    <row r="1666" spans="1:21" ht="30.6">
      <c r="A1666" s="6">
        <v>43425.075891203705</v>
      </c>
      <c r="B1666" s="7" t="str">
        <f>HYPERLINK("https://twitter.com/Alfon_libertad","@Alfon_libertad")</f>
        <v>@Alfon_libertad</v>
      </c>
      <c r="C1666" s="8" t="s">
        <v>6927</v>
      </c>
      <c r="D1666" s="9" t="s">
        <v>6541</v>
      </c>
      <c r="E1666" s="10" t="str">
        <f>HYPERLINK("https://twitter.com/Alfon_libertad/status/1065044443030536192","1065044443030536192")</f>
        <v>1065044443030536192</v>
      </c>
      <c r="F1666" s="11" t="s">
        <v>3688</v>
      </c>
      <c r="G1666" s="12"/>
      <c r="H1666" s="12"/>
      <c r="I1666" s="13">
        <v>6</v>
      </c>
      <c r="J1666" s="13">
        <v>7</v>
      </c>
      <c r="K1666" s="14" t="str">
        <f>HYPERLINK("http://www.facebook.com/twitter","Facebook")</f>
        <v>Facebook</v>
      </c>
      <c r="L1666" s="13">
        <v>14760</v>
      </c>
      <c r="M1666" s="13">
        <v>322</v>
      </c>
      <c r="N1666" s="13">
        <v>78</v>
      </c>
      <c r="O1666" s="15"/>
      <c r="P1666" s="6">
        <v>41246.205428240741</v>
      </c>
      <c r="Q1666" s="12"/>
      <c r="R1666" s="17" t="s">
        <v>6928</v>
      </c>
      <c r="S1666" s="11" t="s">
        <v>6929</v>
      </c>
      <c r="T1666" s="12"/>
      <c r="U1666" s="10" t="str">
        <f>HYPERLINK("https://pbs.twimg.com/profile_images/487524958306721793/l-sJojIM.jpeg","View")</f>
        <v>View</v>
      </c>
    </row>
    <row r="1667" spans="1:21" ht="20.399999999999999">
      <c r="A1667" s="6">
        <v>43425.073622685188</v>
      </c>
      <c r="B1667" s="7" t="str">
        <f>HYPERLINK("https://twitter.com/JuanZyM","@JuanZyM")</f>
        <v>@JuanZyM</v>
      </c>
      <c r="C1667" s="8" t="s">
        <v>6930</v>
      </c>
      <c r="D1667" s="9" t="s">
        <v>6931</v>
      </c>
      <c r="E1667" s="10" t="str">
        <f>HYPERLINK("https://twitter.com/JuanZyM/status/1065043619113910272","1065043619113910272")</f>
        <v>1065043619113910272</v>
      </c>
      <c r="F1667" s="11" t="s">
        <v>6642</v>
      </c>
      <c r="G1667" s="12"/>
      <c r="H1667" s="12"/>
      <c r="I1667" s="13">
        <v>0</v>
      </c>
      <c r="J1667" s="13">
        <v>0</v>
      </c>
      <c r="K1667" s="14" t="str">
        <f>HYPERLINK("https://www.google.com/","Google")</f>
        <v>Google</v>
      </c>
      <c r="L1667" s="13">
        <v>123</v>
      </c>
      <c r="M1667" s="13">
        <v>392</v>
      </c>
      <c r="N1667" s="13">
        <v>2</v>
      </c>
      <c r="O1667" s="15"/>
      <c r="P1667" s="6">
        <v>40696.593958333331</v>
      </c>
      <c r="Q1667" s="16" t="s">
        <v>75</v>
      </c>
      <c r="R1667" s="19"/>
      <c r="S1667" s="11" t="s">
        <v>6932</v>
      </c>
      <c r="T1667" s="12"/>
      <c r="U1667" s="10" t="str">
        <f>HYPERLINK("https://pbs.twimg.com/profile_images/789418155252776960/mthRY_sc.jpg","View")</f>
        <v>View</v>
      </c>
    </row>
    <row r="1668" spans="1:21" ht="51">
      <c r="A1668" s="6">
        <v>43425.068043981482</v>
      </c>
      <c r="B1668" s="7" t="str">
        <f>HYPERLINK("https://twitter.com/Jorcab4","@Jorcab4")</f>
        <v>@Jorcab4</v>
      </c>
      <c r="C1668" s="8" t="s">
        <v>4114</v>
      </c>
      <c r="D1668" s="9" t="s">
        <v>4115</v>
      </c>
      <c r="E1668" s="10" t="str">
        <f>HYPERLINK("https://twitter.com/Jorcab4/status/1065041601192443904","1065041601192443904")</f>
        <v>1065041601192443904</v>
      </c>
      <c r="F1668" s="12"/>
      <c r="G1668" s="12"/>
      <c r="H1668" s="12"/>
      <c r="I1668" s="13">
        <v>2</v>
      </c>
      <c r="J1668" s="13">
        <v>2</v>
      </c>
      <c r="K1668" s="14" t="str">
        <f>HYPERLINK("http://twitter.com/download/android","Twitter for Android")</f>
        <v>Twitter for Android</v>
      </c>
      <c r="L1668" s="13">
        <v>199</v>
      </c>
      <c r="M1668" s="13">
        <v>259</v>
      </c>
      <c r="N1668" s="13">
        <v>0</v>
      </c>
      <c r="O1668" s="15"/>
      <c r="P1668" s="6">
        <v>43085.870173611111</v>
      </c>
      <c r="Q1668" s="16" t="s">
        <v>189</v>
      </c>
      <c r="R1668" s="17" t="s">
        <v>4116</v>
      </c>
      <c r="S1668" s="12"/>
      <c r="T1668" s="12"/>
      <c r="U1668" s="10" t="str">
        <f>HYPERLINK("https://pbs.twimg.com/profile_images/942799418511757320/_jiVz3m0.jpg","View")</f>
        <v>View</v>
      </c>
    </row>
    <row r="1669" spans="1:21" ht="40.799999999999997">
      <c r="A1669" s="6">
        <v>43425.065902777773</v>
      </c>
      <c r="B1669" s="7" t="str">
        <f>HYPERLINK("https://twitter.com/Ch_Enterprises","@Ch_Enterprises")</f>
        <v>@Ch_Enterprises</v>
      </c>
      <c r="C1669" s="8" t="s">
        <v>6933</v>
      </c>
      <c r="D1669" s="9" t="s">
        <v>6934</v>
      </c>
      <c r="E1669" s="10" t="str">
        <f>HYPERLINK("https://twitter.com/Ch_Enterprises/status/1065040824814186497","1065040824814186497")</f>
        <v>1065040824814186497</v>
      </c>
      <c r="F1669" s="11" t="s">
        <v>6935</v>
      </c>
      <c r="G1669" s="12"/>
      <c r="H1669" s="12"/>
      <c r="I1669" s="13">
        <v>0</v>
      </c>
      <c r="J1669" s="13">
        <v>0</v>
      </c>
      <c r="K1669" s="14" t="str">
        <f>HYPERLINK("https://www.google.com/","Google")</f>
        <v>Google</v>
      </c>
      <c r="L1669" s="13">
        <v>406</v>
      </c>
      <c r="M1669" s="13">
        <v>288</v>
      </c>
      <c r="N1669" s="13">
        <v>12</v>
      </c>
      <c r="O1669" s="15"/>
      <c r="P1669" s="6">
        <v>41276.971134259264</v>
      </c>
      <c r="Q1669" s="16" t="s">
        <v>6936</v>
      </c>
      <c r="R1669" s="17" t="s">
        <v>6937</v>
      </c>
      <c r="S1669" s="11" t="s">
        <v>6938</v>
      </c>
      <c r="T1669" s="12"/>
      <c r="U1669" s="10" t="str">
        <f>HYPERLINK("https://pbs.twimg.com/profile_images/427425855829073920/ffJD5cEB.png","View")</f>
        <v>View</v>
      </c>
    </row>
    <row r="1670" spans="1:21" ht="40.799999999999997">
      <c r="A1670" s="6">
        <v>43425.065671296295</v>
      </c>
      <c r="B1670" s="7" t="str">
        <f>HYPERLINK("https://twitter.com/gara_ice","@gara_ice")</f>
        <v>@gara_ice</v>
      </c>
      <c r="C1670" s="8" t="s">
        <v>4117</v>
      </c>
      <c r="D1670" s="9" t="s">
        <v>4118</v>
      </c>
      <c r="E1670" s="10" t="str">
        <f>HYPERLINK("https://twitter.com/gara_ice/status/1065040741725061120","1065040741725061120")</f>
        <v>1065040741725061120</v>
      </c>
      <c r="F1670" s="11" t="s">
        <v>4119</v>
      </c>
      <c r="G1670" s="12"/>
      <c r="H1670" s="12"/>
      <c r="I1670" s="13">
        <v>0</v>
      </c>
      <c r="J1670" s="13">
        <v>0</v>
      </c>
      <c r="K1670" s="14" t="str">
        <f>HYPERLINK("https://ifttt.com","IFTTT")</f>
        <v>IFTTT</v>
      </c>
      <c r="L1670" s="13">
        <v>445</v>
      </c>
      <c r="M1670" s="13">
        <v>434</v>
      </c>
      <c r="N1670" s="13">
        <v>10</v>
      </c>
      <c r="O1670" s="15"/>
      <c r="P1670" s="6">
        <v>39590.435324074075</v>
      </c>
      <c r="Q1670" s="12"/>
      <c r="R1670" s="19"/>
      <c r="S1670" s="12"/>
      <c r="T1670" s="12"/>
      <c r="U1670" s="10" t="str">
        <f>HYPERLINK("https://pbs.twimg.com/profile_images/561850533468971008/-4f3cnLr.jpeg","View")</f>
        <v>View</v>
      </c>
    </row>
    <row r="1671" spans="1:21" ht="30.6">
      <c r="A1671" s="6">
        <v>43425.065289351856</v>
      </c>
      <c r="B1671" s="7" t="str">
        <f>HYPERLINK("https://twitter.com/chavestroica","@chavestroica")</f>
        <v>@chavestroica</v>
      </c>
      <c r="C1671" s="8" t="s">
        <v>6939</v>
      </c>
      <c r="D1671" s="9" t="s">
        <v>6940</v>
      </c>
      <c r="E1671" s="10" t="str">
        <f>HYPERLINK("https://twitter.com/chavestroica/status/1065040602553823232","1065040602553823232")</f>
        <v>1065040602553823232</v>
      </c>
      <c r="F1671" s="11" t="s">
        <v>6941</v>
      </c>
      <c r="G1671" s="12"/>
      <c r="H1671" s="12"/>
      <c r="I1671" s="13">
        <v>0</v>
      </c>
      <c r="J1671" s="13">
        <v>0</v>
      </c>
      <c r="K1671" s="14" t="str">
        <f>HYPERLINK("http://twitter.com","Twitter Web Client")</f>
        <v>Twitter Web Client</v>
      </c>
      <c r="L1671" s="13">
        <v>33947</v>
      </c>
      <c r="M1671" s="13">
        <v>38754</v>
      </c>
      <c r="N1671" s="13">
        <v>49</v>
      </c>
      <c r="O1671" s="15"/>
      <c r="P1671" s="6">
        <v>40235.686388888891</v>
      </c>
      <c r="Q1671" s="16" t="s">
        <v>6942</v>
      </c>
      <c r="R1671" s="17" t="s">
        <v>6943</v>
      </c>
      <c r="S1671" s="11" t="s">
        <v>6944</v>
      </c>
      <c r="T1671" s="12"/>
      <c r="U1671" s="10" t="str">
        <f>HYPERLINK("https://pbs.twimg.com/profile_images/3715849707/c1fb0752fe851bb38fb821cc92b903a6.jpeg","View")</f>
        <v>View</v>
      </c>
    </row>
    <row r="1672" spans="1:21" ht="71.400000000000006">
      <c r="A1672" s="6">
        <v>43425.063877314809</v>
      </c>
      <c r="B1672" s="7" t="str">
        <f>HYPERLINK("https://twitter.com/ManRSanSan1","@ManRSanSan1")</f>
        <v>@ManRSanSan1</v>
      </c>
      <c r="C1672" s="8" t="s">
        <v>6945</v>
      </c>
      <c r="D1672" s="9" t="s">
        <v>6946</v>
      </c>
      <c r="E1672" s="10" t="str">
        <f>HYPERLINK("https://twitter.com/ManRSanSan1/status/1065040090743939072","1065040090743939072")</f>
        <v>1065040090743939072</v>
      </c>
      <c r="F1672" s="16" t="s">
        <v>6947</v>
      </c>
      <c r="G1672" s="12"/>
      <c r="H1672" s="12"/>
      <c r="I1672" s="13">
        <v>0</v>
      </c>
      <c r="J1672" s="13">
        <v>0</v>
      </c>
      <c r="K1672" s="14" t="str">
        <f>HYPERLINK("http://twitter.com/download/android","Twitter for Android")</f>
        <v>Twitter for Android</v>
      </c>
      <c r="L1672" s="13">
        <v>389</v>
      </c>
      <c r="M1672" s="13">
        <v>1470</v>
      </c>
      <c r="N1672" s="13">
        <v>1</v>
      </c>
      <c r="O1672" s="15"/>
      <c r="P1672" s="6">
        <v>42798.815150462964</v>
      </c>
      <c r="Q1672" s="16" t="s">
        <v>6948</v>
      </c>
      <c r="R1672" s="17" t="s">
        <v>6949</v>
      </c>
      <c r="S1672" s="12"/>
      <c r="T1672" s="12"/>
      <c r="U1672" s="10" t="str">
        <f>HYPERLINK("https://pbs.twimg.com/profile_images/1062792207386722305/DRj1n9Ze.jpg","View")</f>
        <v>View</v>
      </c>
    </row>
    <row r="1673" spans="1:21" ht="30.6">
      <c r="A1673" s="6">
        <v>43425.058275462958</v>
      </c>
      <c r="B1673" s="7" t="str">
        <f>HYPERLINK("https://twitter.com/elperiodico","@elperiodico")</f>
        <v>@elperiodico</v>
      </c>
      <c r="C1673" s="8" t="s">
        <v>1583</v>
      </c>
      <c r="D1673" s="9" t="s">
        <v>4121</v>
      </c>
      <c r="E1673" s="10" t="str">
        <f>HYPERLINK("https://twitter.com/elperiodico/status/1065038060818231297","1065038060818231297")</f>
        <v>1065038060818231297</v>
      </c>
      <c r="F1673" s="11" t="s">
        <v>4122</v>
      </c>
      <c r="G1673" s="12"/>
      <c r="H1673" s="12"/>
      <c r="I1673" s="13">
        <v>2</v>
      </c>
      <c r="J1673" s="13">
        <v>6</v>
      </c>
      <c r="K1673" s="14" t="str">
        <f>HYPERLINK("http://dogtrack.es","DogTrack_Oficial")</f>
        <v>DogTrack_Oficial</v>
      </c>
      <c r="L1673" s="13">
        <v>596514</v>
      </c>
      <c r="M1673" s="13">
        <v>18498</v>
      </c>
      <c r="N1673" s="13">
        <v>6922</v>
      </c>
      <c r="O1673" s="18" t="s">
        <v>36</v>
      </c>
      <c r="P1673" s="6">
        <v>40456.539560185185</v>
      </c>
      <c r="Q1673" s="16" t="s">
        <v>75</v>
      </c>
      <c r="R1673" s="17" t="s">
        <v>1588</v>
      </c>
      <c r="S1673" s="11" t="s">
        <v>1589</v>
      </c>
      <c r="T1673" s="12"/>
      <c r="U1673" s="10" t="str">
        <f>HYPERLINK("https://pbs.twimg.com/profile_images/876802324135653377/s4G6oS9o.jpg","View")</f>
        <v>View</v>
      </c>
    </row>
    <row r="1674" spans="1:21" ht="40.799999999999997">
      <c r="A1674" s="6">
        <v>43425.057395833333</v>
      </c>
      <c r="B1674" s="7" t="str">
        <f>HYPERLINK("https://twitter.com/Gilbertasticool","@Gilbertasticool")</f>
        <v>@Gilbertasticool</v>
      </c>
      <c r="C1674" s="8" t="s">
        <v>4125</v>
      </c>
      <c r="D1674" s="9" t="s">
        <v>4126</v>
      </c>
      <c r="E1674" s="10" t="str">
        <f>HYPERLINK("https://twitter.com/Gilbertasticool/status/1065037742101463040","1065037742101463040")</f>
        <v>1065037742101463040</v>
      </c>
      <c r="F1674" s="12"/>
      <c r="G1674" s="12"/>
      <c r="H1674" s="12"/>
      <c r="I1674" s="13">
        <v>0</v>
      </c>
      <c r="J1674" s="13">
        <v>0</v>
      </c>
      <c r="K1674" s="14" t="str">
        <f>HYPERLINK("http://twitter.com/download/android","Twitter for Android")</f>
        <v>Twitter for Android</v>
      </c>
      <c r="L1674" s="13">
        <v>1205</v>
      </c>
      <c r="M1674" s="13">
        <v>1101</v>
      </c>
      <c r="N1674" s="13">
        <v>22</v>
      </c>
      <c r="O1674" s="15"/>
      <c r="P1674" s="6">
        <v>40432.744768518518</v>
      </c>
      <c r="Q1674" s="16" t="s">
        <v>189</v>
      </c>
      <c r="R1674" s="17" t="s">
        <v>4129</v>
      </c>
      <c r="S1674" s="11" t="s">
        <v>4130</v>
      </c>
      <c r="T1674" s="12"/>
      <c r="U1674" s="10" t="str">
        <f>HYPERLINK("https://pbs.twimg.com/profile_images/570982848821370881/mzDM2xoI.jpeg","View")</f>
        <v>View</v>
      </c>
    </row>
    <row r="1675" spans="1:21" ht="20.399999999999999">
      <c r="A1675" s="6">
        <v>43425.055289351847</v>
      </c>
      <c r="B1675" s="7" t="str">
        <f>HYPERLINK("https://twitter.com/jjhr59gmail","@jjhr59gmail")</f>
        <v>@jjhr59gmail</v>
      </c>
      <c r="C1675" s="8" t="s">
        <v>6950</v>
      </c>
      <c r="D1675" s="9" t="s">
        <v>6951</v>
      </c>
      <c r="E1675" s="10" t="str">
        <f>HYPERLINK("https://twitter.com/jjhr59gmail/status/1065036975864987649","1065036975864987649")</f>
        <v>1065036975864987649</v>
      </c>
      <c r="F1675" s="11" t="s">
        <v>3688</v>
      </c>
      <c r="G1675" s="12"/>
      <c r="H1675" s="12"/>
      <c r="I1675" s="13">
        <v>0</v>
      </c>
      <c r="J1675" s="13">
        <v>0</v>
      </c>
      <c r="K1675" s="14" t="str">
        <f>HYPERLINK("https://mobile.twitter.com","Twitter Lite")</f>
        <v>Twitter Lite</v>
      </c>
      <c r="L1675" s="13">
        <v>43</v>
      </c>
      <c r="M1675" s="13">
        <v>69</v>
      </c>
      <c r="N1675" s="13">
        <v>2</v>
      </c>
      <c r="O1675" s="15"/>
      <c r="P1675" s="6">
        <v>41329.470729166671</v>
      </c>
      <c r="Q1675" s="16" t="s">
        <v>290</v>
      </c>
      <c r="R1675" s="17" t="s">
        <v>6952</v>
      </c>
      <c r="S1675" s="12"/>
      <c r="T1675" s="12"/>
      <c r="U1675" s="10" t="str">
        <f>HYPERLINK("https://pbs.twimg.com/profile_images/835206833199591424/kFTThdKk.jpg","View")</f>
        <v>View</v>
      </c>
    </row>
    <row r="1676" spans="1:21" ht="40.799999999999997">
      <c r="A1676" s="6">
        <v>43425.052881944444</v>
      </c>
      <c r="B1676" s="7" t="str">
        <f>HYPERLINK("https://twitter.com/EliaMuoz","@EliaMuoz")</f>
        <v>@EliaMuoz</v>
      </c>
      <c r="C1676" s="8" t="s">
        <v>6953</v>
      </c>
      <c r="D1676" s="9" t="s">
        <v>6954</v>
      </c>
      <c r="E1676" s="10" t="str">
        <f>HYPERLINK("https://twitter.com/EliaMuoz/status/1065036104930394113","1065036104930394113")</f>
        <v>1065036104930394113</v>
      </c>
      <c r="F1676" s="11" t="s">
        <v>6955</v>
      </c>
      <c r="G1676" s="12"/>
      <c r="H1676" s="12"/>
      <c r="I1676" s="13">
        <v>0</v>
      </c>
      <c r="J1676" s="13">
        <v>0</v>
      </c>
      <c r="K1676" s="14" t="str">
        <f>HYPERLINK("http://twitter.com","Twitter Web Client")</f>
        <v>Twitter Web Client</v>
      </c>
      <c r="L1676" s="13">
        <v>1520</v>
      </c>
      <c r="M1676" s="13">
        <v>1519</v>
      </c>
      <c r="N1676" s="13">
        <v>17</v>
      </c>
      <c r="O1676" s="15"/>
      <c r="P1676" s="6">
        <v>40839.984398148146</v>
      </c>
      <c r="Q1676" s="16" t="s">
        <v>75</v>
      </c>
      <c r="R1676" s="17" t="s">
        <v>6956</v>
      </c>
      <c r="S1676" s="12"/>
      <c r="T1676" s="12"/>
      <c r="U1676" s="10" t="str">
        <f>HYPERLINK("https://pbs.twimg.com/profile_images/958679500618944513/NP5xULz1.jpg","View")</f>
        <v>View</v>
      </c>
    </row>
    <row r="1677" spans="1:21" ht="40.799999999999997">
      <c r="A1677" s="6">
        <v>43425.04305555555</v>
      </c>
      <c r="B1677" s="7" t="str">
        <f t="shared" ref="B1677:B1678" si="354">HYPERLINK("https://twitter.com/bitMomentum","@bitMomentum")</f>
        <v>@bitMomentum</v>
      </c>
      <c r="C1677" s="8" t="s">
        <v>706</v>
      </c>
      <c r="D1677" s="9" t="s">
        <v>4131</v>
      </c>
      <c r="E1677" s="10" t="str">
        <f>HYPERLINK("https://twitter.com/bitMomentum/status/1065032542494097408","1065032542494097408")</f>
        <v>1065032542494097408</v>
      </c>
      <c r="F1677" s="12"/>
      <c r="G1677" s="12"/>
      <c r="H1677" s="12"/>
      <c r="I1677" s="13">
        <v>0</v>
      </c>
      <c r="J1677" s="13">
        <v>0</v>
      </c>
      <c r="K1677" s="14" t="str">
        <f t="shared" ref="K1677:K1678" si="355">HYPERLINK("http://www.bitmomentum.com","bitMomentum Bot")</f>
        <v>bitMomentum Bot</v>
      </c>
      <c r="L1677" s="13">
        <v>10132</v>
      </c>
      <c r="M1677" s="13">
        <v>1060</v>
      </c>
      <c r="N1677" s="13">
        <v>262</v>
      </c>
      <c r="O1677" s="15"/>
      <c r="P1677" s="6">
        <v>41608.667511574073</v>
      </c>
      <c r="Q1677" s="12"/>
      <c r="R1677" s="17" t="s">
        <v>708</v>
      </c>
      <c r="S1677" s="11" t="s">
        <v>709</v>
      </c>
      <c r="T1677" s="12"/>
      <c r="U1677" s="10" t="str">
        <f t="shared" ref="U1677:U1678" si="356">HYPERLINK("https://pbs.twimg.com/profile_images/378800000862185241/20ij2H3u.png","View")</f>
        <v>View</v>
      </c>
    </row>
    <row r="1678" spans="1:21" ht="40.799999999999997">
      <c r="A1678" s="6">
        <v>43425.042361111111</v>
      </c>
      <c r="B1678" s="7" t="str">
        <f t="shared" si="354"/>
        <v>@bitMomentum</v>
      </c>
      <c r="C1678" s="8" t="s">
        <v>706</v>
      </c>
      <c r="D1678" s="9" t="s">
        <v>4133</v>
      </c>
      <c r="E1678" s="10" t="str">
        <f>HYPERLINK("https://twitter.com/bitMomentum/status/1065032290743521280","1065032290743521280")</f>
        <v>1065032290743521280</v>
      </c>
      <c r="F1678" s="12"/>
      <c r="G1678" s="12"/>
      <c r="H1678" s="12"/>
      <c r="I1678" s="13">
        <v>0</v>
      </c>
      <c r="J1678" s="13">
        <v>0</v>
      </c>
      <c r="K1678" s="14" t="str">
        <f t="shared" si="355"/>
        <v>bitMomentum Bot</v>
      </c>
      <c r="L1678" s="13">
        <v>10132</v>
      </c>
      <c r="M1678" s="13">
        <v>1060</v>
      </c>
      <c r="N1678" s="13">
        <v>262</v>
      </c>
      <c r="O1678" s="15"/>
      <c r="P1678" s="6">
        <v>41608.667511574073</v>
      </c>
      <c r="Q1678" s="12"/>
      <c r="R1678" s="17" t="s">
        <v>708</v>
      </c>
      <c r="S1678" s="11" t="s">
        <v>709</v>
      </c>
      <c r="T1678" s="12"/>
      <c r="U1678" s="10" t="str">
        <f t="shared" si="356"/>
        <v>View</v>
      </c>
    </row>
    <row r="1679" spans="1:21" ht="20.399999999999999">
      <c r="A1679" s="6">
        <v>43425.040543981479</v>
      </c>
      <c r="B1679" s="7" t="str">
        <f>HYPERLINK("https://twitter.com/emilaumareli","@emilaumareli")</f>
        <v>@emilaumareli</v>
      </c>
      <c r="C1679" s="8" t="s">
        <v>6957</v>
      </c>
      <c r="D1679" s="9" t="s">
        <v>6958</v>
      </c>
      <c r="E1679" s="10" t="str">
        <f>HYPERLINK("https://twitter.com/emilaumareli/status/1065031633663926273","1065031633663926273")</f>
        <v>1065031633663926273</v>
      </c>
      <c r="F1679" s="12"/>
      <c r="G1679" s="11" t="s">
        <v>6959</v>
      </c>
      <c r="H1679" s="12"/>
      <c r="I1679" s="13">
        <v>1</v>
      </c>
      <c r="J1679" s="13">
        <v>1</v>
      </c>
      <c r="K1679" s="14" t="str">
        <f t="shared" ref="K1679:K1680" si="357">HYPERLINK("http://twitter.com/download/android","Twitter for Android")</f>
        <v>Twitter for Android</v>
      </c>
      <c r="L1679" s="13">
        <v>746</v>
      </c>
      <c r="M1679" s="13">
        <v>781</v>
      </c>
      <c r="N1679" s="13">
        <v>39</v>
      </c>
      <c r="O1679" s="15"/>
      <c r="P1679" s="6">
        <v>40620.924363425926</v>
      </c>
      <c r="Q1679" s="16" t="s">
        <v>6960</v>
      </c>
      <c r="R1679" s="17" t="s">
        <v>6961</v>
      </c>
      <c r="S1679" s="12"/>
      <c r="T1679" s="12"/>
      <c r="U1679" s="10" t="str">
        <f>HYPERLINK("https://pbs.twimg.com/profile_images/3422997205/b561aa9c13f287eedec9a9c14739bfe9.jpeg","View")</f>
        <v>View</v>
      </c>
    </row>
    <row r="1680" spans="1:21" ht="81.599999999999994">
      <c r="A1680" s="6">
        <v>43425.03743055556</v>
      </c>
      <c r="B1680" s="7" t="str">
        <f>HYPERLINK("https://twitter.com/chirusquina","@chirusquina")</f>
        <v>@chirusquina</v>
      </c>
      <c r="C1680" s="8" t="s">
        <v>4137</v>
      </c>
      <c r="D1680" s="9" t="s">
        <v>4138</v>
      </c>
      <c r="E1680" s="10" t="str">
        <f>HYPERLINK("https://twitter.com/chirusquina/status/1065030505001877504","1065030505001877504")</f>
        <v>1065030505001877504</v>
      </c>
      <c r="F1680" s="11" t="s">
        <v>4139</v>
      </c>
      <c r="G1680" s="11" t="s">
        <v>4140</v>
      </c>
      <c r="H1680" s="12"/>
      <c r="I1680" s="13">
        <v>1</v>
      </c>
      <c r="J1680" s="13">
        <v>0</v>
      </c>
      <c r="K1680" s="14" t="str">
        <f t="shared" si="357"/>
        <v>Twitter for Android</v>
      </c>
      <c r="L1680" s="13">
        <v>53</v>
      </c>
      <c r="M1680" s="13">
        <v>322</v>
      </c>
      <c r="N1680" s="13">
        <v>4</v>
      </c>
      <c r="O1680" s="15"/>
      <c r="P1680" s="6">
        <v>41102.045648148152</v>
      </c>
      <c r="Q1680" s="12"/>
      <c r="R1680" s="17" t="s">
        <v>4141</v>
      </c>
      <c r="S1680" s="12"/>
      <c r="T1680" s="12"/>
      <c r="U1680" s="10" t="str">
        <f>HYPERLINK("https://pbs.twimg.com/profile_images/937486154856792065/-qUPTFLl.jpg","View")</f>
        <v>View</v>
      </c>
    </row>
    <row r="1681" spans="1:21" ht="40.799999999999997">
      <c r="A1681" s="6">
        <v>43425.036585648151</v>
      </c>
      <c r="B1681" s="7" t="str">
        <f>HYPERLINK("https://twitter.com/mamencrespo","@mamencrespo")</f>
        <v>@mamencrespo</v>
      </c>
      <c r="C1681" s="8" t="s">
        <v>747</v>
      </c>
      <c r="D1681" s="9" t="s">
        <v>4144</v>
      </c>
      <c r="E1681" s="10" t="str">
        <f>HYPERLINK("https://twitter.com/mamencrespo/status/1065030198482137089","1065030198482137089")</f>
        <v>1065030198482137089</v>
      </c>
      <c r="F1681" s="12"/>
      <c r="G1681" s="11" t="s">
        <v>4146</v>
      </c>
      <c r="H1681" s="12"/>
      <c r="I1681" s="13">
        <v>0</v>
      </c>
      <c r="J1681" s="13">
        <v>1</v>
      </c>
      <c r="K1681" s="14" t="str">
        <f>HYPERLINK("http://twitter.com/download/iphone","Twitter for iPhone")</f>
        <v>Twitter for iPhone</v>
      </c>
      <c r="L1681" s="13">
        <v>2833</v>
      </c>
      <c r="M1681" s="13">
        <v>1367</v>
      </c>
      <c r="N1681" s="13">
        <v>50</v>
      </c>
      <c r="O1681" s="15"/>
      <c r="P1681" s="6">
        <v>40625.911006944443</v>
      </c>
      <c r="Q1681" s="12"/>
      <c r="R1681" s="17" t="s">
        <v>751</v>
      </c>
      <c r="S1681" s="11" t="s">
        <v>752</v>
      </c>
      <c r="T1681" s="12"/>
      <c r="U1681" s="10" t="str">
        <f>HYPERLINK("https://pbs.twimg.com/profile_images/798697774183288834/GKJ7BfZY.jpg","View")</f>
        <v>View</v>
      </c>
    </row>
    <row r="1682" spans="1:21" ht="13.2">
      <c r="A1682" s="6">
        <v>43425.033518518518</v>
      </c>
      <c r="B1682" s="7" t="str">
        <f t="shared" ref="B1682:B1683" si="358">HYPERLINK("https://twitter.com/Rojillo2018","@Rojillo2018")</f>
        <v>@Rojillo2018</v>
      </c>
      <c r="C1682" s="8" t="s">
        <v>3429</v>
      </c>
      <c r="D1682" s="9" t="s">
        <v>6962</v>
      </c>
      <c r="E1682" s="10" t="str">
        <f>HYPERLINK("https://twitter.com/Rojillo2018/status/1065029088128262145","1065029088128262145")</f>
        <v>1065029088128262145</v>
      </c>
      <c r="F1682" s="12"/>
      <c r="G1682" s="11" t="s">
        <v>6963</v>
      </c>
      <c r="H1682" s="12"/>
      <c r="I1682" s="13">
        <v>5</v>
      </c>
      <c r="J1682" s="13">
        <v>6</v>
      </c>
      <c r="K1682" s="14" t="str">
        <f t="shared" ref="K1682:K1683" si="359">HYPERLINK("http://twitter.com","Twitter Web Client")</f>
        <v>Twitter Web Client</v>
      </c>
      <c r="L1682" s="13">
        <v>449</v>
      </c>
      <c r="M1682" s="13">
        <v>1034</v>
      </c>
      <c r="N1682" s="13">
        <v>1</v>
      </c>
      <c r="O1682" s="15"/>
      <c r="P1682" s="6">
        <v>43416.63175925926</v>
      </c>
      <c r="Q1682" s="16" t="s">
        <v>3433</v>
      </c>
      <c r="R1682" s="17" t="s">
        <v>3434</v>
      </c>
      <c r="S1682" s="12"/>
      <c r="T1682" s="12"/>
      <c r="U1682" s="10" t="str">
        <f t="shared" ref="U1682:U1683" si="360">HYPERLINK("https://pbs.twimg.com/profile_images/1063905639091642369/tNutwQbh.jpg","View")</f>
        <v>View</v>
      </c>
    </row>
    <row r="1683" spans="1:21" ht="13.2">
      <c r="A1683" s="6">
        <v>43425.029930555553</v>
      </c>
      <c r="B1683" s="7" t="str">
        <f t="shared" si="358"/>
        <v>@Rojillo2018</v>
      </c>
      <c r="C1683" s="8" t="s">
        <v>3429</v>
      </c>
      <c r="D1683" s="9" t="s">
        <v>6964</v>
      </c>
      <c r="E1683" s="10" t="str">
        <f>HYPERLINK("https://twitter.com/Rojillo2018/status/1065027786354634754","1065027786354634754")</f>
        <v>1065027786354634754</v>
      </c>
      <c r="F1683" s="12"/>
      <c r="G1683" s="11" t="s">
        <v>6965</v>
      </c>
      <c r="H1683" s="12"/>
      <c r="I1683" s="13">
        <v>2</v>
      </c>
      <c r="J1683" s="13">
        <v>2</v>
      </c>
      <c r="K1683" s="14" t="str">
        <f t="shared" si="359"/>
        <v>Twitter Web Client</v>
      </c>
      <c r="L1683" s="13">
        <v>449</v>
      </c>
      <c r="M1683" s="13">
        <v>1034</v>
      </c>
      <c r="N1683" s="13">
        <v>1</v>
      </c>
      <c r="O1683" s="15"/>
      <c r="P1683" s="6">
        <v>43416.63175925926</v>
      </c>
      <c r="Q1683" s="16" t="s">
        <v>3433</v>
      </c>
      <c r="R1683" s="17" t="s">
        <v>3434</v>
      </c>
      <c r="S1683" s="12"/>
      <c r="T1683" s="12"/>
      <c r="U1683" s="10" t="str">
        <f t="shared" si="360"/>
        <v>View</v>
      </c>
    </row>
    <row r="1684" spans="1:21" ht="51">
      <c r="A1684" s="6">
        <v>43425.025277777779</v>
      </c>
      <c r="B1684" s="7" t="str">
        <f>HYPERLINK("https://twitter.com/altamiranoMLG","@altamiranoMLG")</f>
        <v>@altamiranoMLG</v>
      </c>
      <c r="C1684" s="8" t="s">
        <v>6850</v>
      </c>
      <c r="D1684" s="9" t="s">
        <v>6966</v>
      </c>
      <c r="E1684" s="10" t="str">
        <f>HYPERLINK("https://twitter.com/altamiranoMLG/status/1065026099577528320","1065026099577528320")</f>
        <v>1065026099577528320</v>
      </c>
      <c r="F1684" s="12"/>
      <c r="G1684" s="12"/>
      <c r="H1684" s="12"/>
      <c r="I1684" s="13">
        <v>453</v>
      </c>
      <c r="J1684" s="13">
        <v>844</v>
      </c>
      <c r="K1684" s="14" t="str">
        <f t="shared" ref="K1684:K1685" si="361">HYPERLINK("http://twitter.com/download/iphone","Twitter for iPhone")</f>
        <v>Twitter for iPhone</v>
      </c>
      <c r="L1684" s="13">
        <v>26837</v>
      </c>
      <c r="M1684" s="13">
        <v>25975</v>
      </c>
      <c r="N1684" s="13">
        <v>104</v>
      </c>
      <c r="O1684" s="15"/>
      <c r="P1684" s="6">
        <v>41501.953414351854</v>
      </c>
      <c r="Q1684" s="16" t="s">
        <v>6851</v>
      </c>
      <c r="R1684" s="17" t="s">
        <v>6852</v>
      </c>
      <c r="S1684" s="11" t="s">
        <v>6853</v>
      </c>
      <c r="T1684" s="12"/>
      <c r="U1684" s="10" t="str">
        <f>HYPERLINK("https://pbs.twimg.com/profile_images/972022450786590720/M_Brz1Da.jpg","View")</f>
        <v>View</v>
      </c>
    </row>
    <row r="1685" spans="1:21" ht="71.400000000000006">
      <c r="A1685" s="6">
        <v>43425.023842592593</v>
      </c>
      <c r="B1685" s="7" t="str">
        <f>HYPERLINK("https://twitter.com/CeliaSanchezJ","@CeliaSanchezJ")</f>
        <v>@CeliaSanchezJ</v>
      </c>
      <c r="C1685" s="8" t="s">
        <v>4150</v>
      </c>
      <c r="D1685" s="9" t="s">
        <v>4151</v>
      </c>
      <c r="E1685" s="10" t="str">
        <f>HYPERLINK("https://twitter.com/CeliaSanchezJ/status/1065025582172393472","1065025582172393472")</f>
        <v>1065025582172393472</v>
      </c>
      <c r="F1685" s="11" t="s">
        <v>4154</v>
      </c>
      <c r="G1685" s="11" t="s">
        <v>4155</v>
      </c>
      <c r="H1685" s="12"/>
      <c r="I1685" s="13">
        <v>4</v>
      </c>
      <c r="J1685" s="13">
        <v>5</v>
      </c>
      <c r="K1685" s="14" t="str">
        <f t="shared" si="361"/>
        <v>Twitter for iPhone</v>
      </c>
      <c r="L1685" s="13">
        <v>512</v>
      </c>
      <c r="M1685" s="13">
        <v>609</v>
      </c>
      <c r="N1685" s="13">
        <v>7</v>
      </c>
      <c r="O1685" s="15"/>
      <c r="P1685" s="6">
        <v>41311.706273148149</v>
      </c>
      <c r="Q1685" s="16" t="s">
        <v>4156</v>
      </c>
      <c r="R1685" s="17" t="s">
        <v>4157</v>
      </c>
      <c r="S1685" s="12"/>
      <c r="T1685" s="12"/>
      <c r="U1685" s="10" t="str">
        <f>HYPERLINK("https://pbs.twimg.com/profile_images/907960508573274113/3sMfbJxZ.jpg","View")</f>
        <v>View</v>
      </c>
    </row>
    <row r="1686" spans="1:21" ht="71.400000000000006">
      <c r="A1686" s="6">
        <v>43425.023622685185</v>
      </c>
      <c r="B1686" s="7" t="str">
        <f>HYPERLINK("https://twitter.com/encampanya","@encampanya")</f>
        <v>@encampanya</v>
      </c>
      <c r="C1686" s="8" t="s">
        <v>4162</v>
      </c>
      <c r="D1686" s="9" t="s">
        <v>4163</v>
      </c>
      <c r="E1686" s="10" t="str">
        <f>HYPERLINK("https://twitter.com/encampanya/status/1065025501977284608","1065025501977284608")</f>
        <v>1065025501977284608</v>
      </c>
      <c r="F1686" s="11" t="s">
        <v>2769</v>
      </c>
      <c r="G1686" s="11" t="s">
        <v>2770</v>
      </c>
      <c r="H1686" s="12"/>
      <c r="I1686" s="13">
        <v>0</v>
      </c>
      <c r="J1686" s="13">
        <v>2</v>
      </c>
      <c r="K1686" s="14" t="str">
        <f t="shared" ref="K1686:K1688" si="362">HYPERLINK("http://twitter.com/download/android","Twitter for Android")</f>
        <v>Twitter for Android</v>
      </c>
      <c r="L1686" s="13">
        <v>39123</v>
      </c>
      <c r="M1686" s="13">
        <v>865</v>
      </c>
      <c r="N1686" s="13">
        <v>363</v>
      </c>
      <c r="O1686" s="15"/>
      <c r="P1686" s="6">
        <v>41208.010694444441</v>
      </c>
      <c r="Q1686" s="16" t="s">
        <v>75</v>
      </c>
      <c r="R1686" s="17" t="s">
        <v>4164</v>
      </c>
      <c r="S1686" s="12"/>
      <c r="T1686" s="12"/>
      <c r="U1686" s="10" t="str">
        <f>HYPERLINK("https://pbs.twimg.com/profile_images/910561308009013248/QNK88-PI.jpg","View")</f>
        <v>View</v>
      </c>
    </row>
    <row r="1687" spans="1:21" ht="40.799999999999997">
      <c r="A1687" s="6">
        <v>43425.022499999999</v>
      </c>
      <c r="B1687" s="7" t="str">
        <f>HYPERLINK("https://twitter.com/KoldoErrioxa","@KoldoErrioxa")</f>
        <v>@KoldoErrioxa</v>
      </c>
      <c r="C1687" s="8" t="s">
        <v>2114</v>
      </c>
      <c r="D1687" s="9" t="s">
        <v>2115</v>
      </c>
      <c r="E1687" s="10" t="str">
        <f>HYPERLINK("https://twitter.com/KoldoErrioxa/status/1065025095851274240","1065025095851274240")</f>
        <v>1065025095851274240</v>
      </c>
      <c r="F1687" s="11" t="s">
        <v>2116</v>
      </c>
      <c r="G1687" s="12"/>
      <c r="H1687" s="12"/>
      <c r="I1687" s="13">
        <v>0</v>
      </c>
      <c r="J1687" s="13">
        <v>0</v>
      </c>
      <c r="K1687" s="14" t="str">
        <f t="shared" si="362"/>
        <v>Twitter for Android</v>
      </c>
      <c r="L1687" s="13">
        <v>550</v>
      </c>
      <c r="M1687" s="13">
        <v>270</v>
      </c>
      <c r="N1687" s="13">
        <v>10</v>
      </c>
      <c r="O1687" s="15"/>
      <c r="P1687" s="6">
        <v>42122.81450231481</v>
      </c>
      <c r="Q1687" s="12"/>
      <c r="R1687" s="17" t="s">
        <v>2117</v>
      </c>
      <c r="S1687" s="12"/>
      <c r="T1687" s="12"/>
      <c r="U1687" s="10" t="str">
        <f>HYPERLINK("https://pbs.twimg.com/profile_images/802159746191073280/xgdw9dIl.jpg","View")</f>
        <v>View</v>
      </c>
    </row>
    <row r="1688" spans="1:21" ht="51">
      <c r="A1688" s="6">
        <v>43425.020486111112</v>
      </c>
      <c r="B1688" s="7" t="str">
        <f>HYPERLINK("https://twitter.com/AndyLermith","@AndyLermith")</f>
        <v>@AndyLermith</v>
      </c>
      <c r="C1688" s="8" t="s">
        <v>4165</v>
      </c>
      <c r="D1688" s="9" t="s">
        <v>4166</v>
      </c>
      <c r="E1688" s="10" t="str">
        <f>HYPERLINK("https://twitter.com/AndyLermith/status/1065024366457573378","1065024366457573378")</f>
        <v>1065024366457573378</v>
      </c>
      <c r="F1688" s="12"/>
      <c r="G1688" s="11" t="s">
        <v>4169</v>
      </c>
      <c r="H1688" s="12"/>
      <c r="I1688" s="13">
        <v>0</v>
      </c>
      <c r="J1688" s="13">
        <v>0</v>
      </c>
      <c r="K1688" s="14" t="str">
        <f t="shared" si="362"/>
        <v>Twitter for Android</v>
      </c>
      <c r="L1688" s="13">
        <v>1853</v>
      </c>
      <c r="M1688" s="13">
        <v>2696</v>
      </c>
      <c r="N1688" s="13">
        <v>11</v>
      </c>
      <c r="O1688" s="15"/>
      <c r="P1688" s="6">
        <v>40641.704328703701</v>
      </c>
      <c r="Q1688" s="16" t="s">
        <v>4170</v>
      </c>
      <c r="R1688" s="17" t="s">
        <v>4171</v>
      </c>
      <c r="S1688" s="12"/>
      <c r="T1688" s="12"/>
      <c r="U1688" s="10" t="str">
        <f>HYPERLINK("https://pbs.twimg.com/profile_images/819469868403720192/6cBb32IZ.jpg","View")</f>
        <v>View</v>
      </c>
    </row>
    <row r="1689" spans="1:21" ht="30.6">
      <c r="A1689" s="6">
        <v>43425.019074074073</v>
      </c>
      <c r="B1689" s="7" t="str">
        <f>HYPERLINK("https://twitter.com/Lo_Tio_Collons","@Lo_Tio_Collons")</f>
        <v>@Lo_Tio_Collons</v>
      </c>
      <c r="C1689" s="8" t="s">
        <v>6967</v>
      </c>
      <c r="D1689" s="9" t="s">
        <v>6968</v>
      </c>
      <c r="E1689" s="10" t="str">
        <f>HYPERLINK("https://twitter.com/Lo_Tio_Collons/status/1065023854857383936","1065023854857383936")</f>
        <v>1065023854857383936</v>
      </c>
      <c r="F1689" s="12"/>
      <c r="G1689" s="11" t="s">
        <v>6969</v>
      </c>
      <c r="H1689" s="12"/>
      <c r="I1689" s="13">
        <v>1</v>
      </c>
      <c r="J1689" s="13">
        <v>1</v>
      </c>
      <c r="K1689" s="14" t="str">
        <f>HYPERLINK("http://twitter.com/#!/download/ipad","Twitter for iPad")</f>
        <v>Twitter for iPad</v>
      </c>
      <c r="L1689" s="13">
        <v>3261</v>
      </c>
      <c r="M1689" s="13">
        <v>29</v>
      </c>
      <c r="N1689" s="13">
        <v>26</v>
      </c>
      <c r="O1689" s="15"/>
      <c r="P1689" s="6">
        <v>42026.686423611114</v>
      </c>
      <c r="Q1689" s="16" t="s">
        <v>448</v>
      </c>
      <c r="R1689" s="17" t="s">
        <v>6970</v>
      </c>
      <c r="S1689" s="12"/>
      <c r="T1689" s="12"/>
      <c r="U1689" s="10" t="str">
        <f>HYPERLINK("https://pbs.twimg.com/profile_images/921426999809228800/6_uK8eFB.jpg","View")</f>
        <v>View</v>
      </c>
    </row>
    <row r="1690" spans="1:21" ht="20.399999999999999">
      <c r="A1690" s="6">
        <v>43425.017013888893</v>
      </c>
      <c r="B1690" s="7" t="str">
        <f>HYPERLINK("https://twitter.com/sergeblote","@sergeblote")</f>
        <v>@sergeblote</v>
      </c>
      <c r="C1690" s="8" t="s">
        <v>6971</v>
      </c>
      <c r="D1690" s="9" t="s">
        <v>6931</v>
      </c>
      <c r="E1690" s="10" t="str">
        <f>HYPERLINK("https://twitter.com/sergeblote/status/1065023106152988673","1065023106152988673")</f>
        <v>1065023106152988673</v>
      </c>
      <c r="F1690" s="11" t="s">
        <v>6642</v>
      </c>
      <c r="G1690" s="12"/>
      <c r="H1690" s="12"/>
      <c r="I1690" s="13">
        <v>0</v>
      </c>
      <c r="J1690" s="13">
        <v>0</v>
      </c>
      <c r="K1690" s="14" t="str">
        <f>HYPERLINK("https://www.google.com/","Google")</f>
        <v>Google</v>
      </c>
      <c r="L1690" s="13">
        <v>33</v>
      </c>
      <c r="M1690" s="13">
        <v>33</v>
      </c>
      <c r="N1690" s="13">
        <v>1</v>
      </c>
      <c r="O1690" s="15"/>
      <c r="P1690" s="6">
        <v>40788.616087962961</v>
      </c>
      <c r="Q1690" s="16" t="s">
        <v>6972</v>
      </c>
      <c r="R1690" s="19"/>
      <c r="S1690" s="12"/>
      <c r="T1690" s="12"/>
      <c r="U1690" s="10" t="str">
        <f>HYPERLINK("https://pbs.twimg.com/profile_images/1574471639/divers_016.jpg","View")</f>
        <v>View</v>
      </c>
    </row>
    <row r="1691" spans="1:21" ht="30.6">
      <c r="A1691" s="6">
        <v>43425.016446759255</v>
      </c>
      <c r="B1691" s="7" t="str">
        <f>HYPERLINK("https://twitter.com/Fernand48458942","@Fernand48458942")</f>
        <v>@Fernand48458942</v>
      </c>
      <c r="C1691" s="8" t="s">
        <v>4172</v>
      </c>
      <c r="D1691" s="9" t="s">
        <v>4173</v>
      </c>
      <c r="E1691" s="10" t="str">
        <f>HYPERLINK("https://twitter.com/Fernand48458942/status/1065022900321873920","1065022900321873920")</f>
        <v>1065022900321873920</v>
      </c>
      <c r="F1691" s="12"/>
      <c r="G1691" s="12"/>
      <c r="H1691" s="12"/>
      <c r="I1691" s="13">
        <v>0</v>
      </c>
      <c r="J1691" s="13">
        <v>0</v>
      </c>
      <c r="K1691" s="14" t="str">
        <f>HYPERLINK("http://twitter.com/download/android","Twitter for Android")</f>
        <v>Twitter for Android</v>
      </c>
      <c r="L1691" s="13">
        <v>4</v>
      </c>
      <c r="M1691" s="13">
        <v>35</v>
      </c>
      <c r="N1691" s="13">
        <v>0</v>
      </c>
      <c r="O1691" s="15"/>
      <c r="P1691" s="6">
        <v>43307.861342592594</v>
      </c>
      <c r="Q1691" s="16" t="s">
        <v>4176</v>
      </c>
      <c r="R1691" s="17" t="s">
        <v>4177</v>
      </c>
      <c r="S1691" s="12"/>
      <c r="T1691" s="12"/>
      <c r="U1691" s="10" t="str">
        <f>HYPERLINK("https://pbs.twimg.com/profile_images/1022848125743063040/CYZqofJM.jpg","View")</f>
        <v>View</v>
      </c>
    </row>
    <row r="1692" spans="1:21" ht="40.799999999999997">
      <c r="A1692" s="6">
        <v>43425.011261574073</v>
      </c>
      <c r="B1692" s="7" t="str">
        <f>HYPERLINK("https://twitter.com/Gemmajhb","@Gemmajhb")</f>
        <v>@Gemmajhb</v>
      </c>
      <c r="C1692" s="8" t="s">
        <v>4183</v>
      </c>
      <c r="D1692" s="9" t="s">
        <v>4184</v>
      </c>
      <c r="E1692" s="10" t="str">
        <f>HYPERLINK("https://twitter.com/Gemmajhb/status/1065021023710572548","1065021023710572548")</f>
        <v>1065021023710572548</v>
      </c>
      <c r="F1692" s="12"/>
      <c r="G1692" s="11" t="s">
        <v>4185</v>
      </c>
      <c r="H1692" s="12"/>
      <c r="I1692" s="13">
        <v>26</v>
      </c>
      <c r="J1692" s="13">
        <v>128</v>
      </c>
      <c r="K1692" s="14" t="str">
        <f>HYPERLINK("http://twitter.com/download/iphone","Twitter for iPhone")</f>
        <v>Twitter for iPhone</v>
      </c>
      <c r="L1692" s="13">
        <v>14706</v>
      </c>
      <c r="M1692" s="13">
        <v>1008</v>
      </c>
      <c r="N1692" s="13">
        <v>54</v>
      </c>
      <c r="O1692" s="15"/>
      <c r="P1692" s="6">
        <v>40553.905532407407</v>
      </c>
      <c r="Q1692" s="16" t="s">
        <v>4188</v>
      </c>
      <c r="R1692" s="17" t="s">
        <v>4189</v>
      </c>
      <c r="S1692" s="11" t="s">
        <v>4190</v>
      </c>
      <c r="T1692" s="12"/>
      <c r="U1692" s="10" t="str">
        <f>HYPERLINK("https://pbs.twimg.com/profile_images/1046172828771524609/VSNCcKG7.jpg","View")</f>
        <v>View</v>
      </c>
    </row>
    <row r="1693" spans="1:21" ht="61.2">
      <c r="A1693" s="6">
        <v>43425.008217592593</v>
      </c>
      <c r="B1693" s="7" t="str">
        <f>HYPERLINK("https://twitter.com/AlvaroHerraiz","@AlvaroHerraiz")</f>
        <v>@AlvaroHerraiz</v>
      </c>
      <c r="C1693" s="8" t="s">
        <v>4194</v>
      </c>
      <c r="D1693" s="9" t="s">
        <v>4195</v>
      </c>
      <c r="E1693" s="10" t="str">
        <f>HYPERLINK("https://twitter.com/AlvaroHerraiz/status/1065019921053220864","1065019921053220864")</f>
        <v>1065019921053220864</v>
      </c>
      <c r="F1693" s="12"/>
      <c r="G1693" s="11" t="s">
        <v>4196</v>
      </c>
      <c r="H1693" s="12"/>
      <c r="I1693" s="13">
        <v>0</v>
      </c>
      <c r="J1693" s="13">
        <v>0</v>
      </c>
      <c r="K1693" s="14" t="str">
        <f>HYPERLINK("http://twitter.com/download/android","Twitter for Android")</f>
        <v>Twitter for Android</v>
      </c>
      <c r="L1693" s="13">
        <v>117</v>
      </c>
      <c r="M1693" s="13">
        <v>619</v>
      </c>
      <c r="N1693" s="13">
        <v>0</v>
      </c>
      <c r="O1693" s="15"/>
      <c r="P1693" s="6">
        <v>42360.963506944448</v>
      </c>
      <c r="Q1693" s="16" t="s">
        <v>4197</v>
      </c>
      <c r="R1693" s="17" t="s">
        <v>4198</v>
      </c>
      <c r="S1693" s="12"/>
      <c r="T1693" s="12"/>
      <c r="U1693" s="10" t="str">
        <f>HYPERLINK("https://pbs.twimg.com/profile_images/679440237890764801/NrlsYBcO.jpg","View")</f>
        <v>View</v>
      </c>
    </row>
    <row r="1694" spans="1:21" ht="30.6">
      <c r="A1694" s="6">
        <v>43425.006944444445</v>
      </c>
      <c r="B1694" s="7" t="str">
        <f>HYPERLINK("https://twitter.com/ElHuffPost","@ElHuffPost")</f>
        <v>@ElHuffPost</v>
      </c>
      <c r="C1694" s="8" t="s">
        <v>6203</v>
      </c>
      <c r="D1694" s="9" t="s">
        <v>6489</v>
      </c>
      <c r="E1694" s="10" t="str">
        <f>HYPERLINK("https://twitter.com/ElHuffPost/status/1065019457330970626","1065019457330970626")</f>
        <v>1065019457330970626</v>
      </c>
      <c r="F1694" s="11" t="s">
        <v>1709</v>
      </c>
      <c r="G1694" s="12"/>
      <c r="H1694" s="12"/>
      <c r="I1694" s="13">
        <v>3</v>
      </c>
      <c r="J1694" s="13">
        <v>1</v>
      </c>
      <c r="K1694" s="14" t="str">
        <f>HYPERLINK("https://about.twitter.com/products/tweetdeck","TweetDeck")</f>
        <v>TweetDeck</v>
      </c>
      <c r="L1694" s="13">
        <v>430324</v>
      </c>
      <c r="M1694" s="13">
        <v>1532</v>
      </c>
      <c r="N1694" s="13">
        <v>8188</v>
      </c>
      <c r="O1694" s="18" t="s">
        <v>36</v>
      </c>
      <c r="P1694" s="6">
        <v>40785.027118055557</v>
      </c>
      <c r="Q1694" s="16" t="s">
        <v>440</v>
      </c>
      <c r="R1694" s="17" t="s">
        <v>6205</v>
      </c>
      <c r="S1694" s="11" t="s">
        <v>6206</v>
      </c>
      <c r="T1694" s="12"/>
      <c r="U1694" s="10" t="str">
        <f>HYPERLINK("https://pbs.twimg.com/profile_images/921140803422089217/ETOEUOAx.jpg","View")</f>
        <v>View</v>
      </c>
    </row>
    <row r="1695" spans="1:21" ht="30.6">
      <c r="A1695" s="6">
        <v>43425.004675925928</v>
      </c>
      <c r="B1695" s="7" t="str">
        <f>HYPERLINK("https://twitter.com/mamendaire","@mamendaire")</f>
        <v>@mamendaire</v>
      </c>
      <c r="C1695" s="8" t="s">
        <v>6973</v>
      </c>
      <c r="D1695" s="9" t="s">
        <v>6974</v>
      </c>
      <c r="E1695" s="10" t="str">
        <f>HYPERLINK("https://twitter.com/mamendaire/status/1065018636056838144","1065018636056838144")</f>
        <v>1065018636056838144</v>
      </c>
      <c r="F1695" s="12"/>
      <c r="G1695" s="11" t="s">
        <v>6975</v>
      </c>
      <c r="H1695" s="12"/>
      <c r="I1695" s="13">
        <v>0</v>
      </c>
      <c r="J1695" s="13">
        <v>1</v>
      </c>
      <c r="K1695" s="14" t="str">
        <f>HYPERLINK("http://twitter.com/download/android","Twitter for Android")</f>
        <v>Twitter for Android</v>
      </c>
      <c r="L1695" s="13">
        <v>30</v>
      </c>
      <c r="M1695" s="13">
        <v>114</v>
      </c>
      <c r="N1695" s="13">
        <v>0</v>
      </c>
      <c r="O1695" s="15"/>
      <c r="P1695" s="6">
        <v>41425.158333333333</v>
      </c>
      <c r="Q1695" s="16" t="s">
        <v>6976</v>
      </c>
      <c r="R1695" s="17" t="s">
        <v>6977</v>
      </c>
      <c r="S1695" s="12"/>
      <c r="T1695" s="12"/>
      <c r="U1695" s="10" t="str">
        <f>HYPERLINK("https://pbs.twimg.com/profile_images/1056785906311532544/c-OiNnTo.jpg","View")</f>
        <v>View</v>
      </c>
    </row>
    <row r="1696" spans="1:21" ht="71.400000000000006">
      <c r="A1696" s="6">
        <v>43425.004282407404</v>
      </c>
      <c r="B1696" s="7" t="str">
        <f>HYPERLINK("https://twitter.com/Crooperc","@Crooperc")</f>
        <v>@Crooperc</v>
      </c>
      <c r="C1696" s="8" t="s">
        <v>6978</v>
      </c>
      <c r="D1696" s="9" t="s">
        <v>6979</v>
      </c>
      <c r="E1696" s="10" t="str">
        <f>HYPERLINK("https://twitter.com/Crooperc/status/1065018493303746561","1065018493303746561")</f>
        <v>1065018493303746561</v>
      </c>
      <c r="F1696" s="11" t="s">
        <v>6980</v>
      </c>
      <c r="G1696" s="12"/>
      <c r="H1696" s="12"/>
      <c r="I1696" s="13">
        <v>0</v>
      </c>
      <c r="J1696" s="13">
        <v>0</v>
      </c>
      <c r="K1696" s="14" t="str">
        <f t="shared" ref="K1696:K1697" si="363">HYPERLINK("http://twitter.com","Twitter Web Client")</f>
        <v>Twitter Web Client</v>
      </c>
      <c r="L1696" s="13">
        <v>448</v>
      </c>
      <c r="M1696" s="13">
        <v>1008</v>
      </c>
      <c r="N1696" s="13">
        <v>7</v>
      </c>
      <c r="O1696" s="15"/>
      <c r="P1696" s="6">
        <v>40576.682604166665</v>
      </c>
      <c r="Q1696" s="16" t="s">
        <v>118</v>
      </c>
      <c r="R1696" s="17" t="s">
        <v>6981</v>
      </c>
      <c r="S1696" s="12"/>
      <c r="T1696" s="12"/>
      <c r="U1696" s="10" t="str">
        <f>HYPERLINK("https://pbs.twimg.com/profile_images/710548663265857536/-TZuIifW.jpg","View")</f>
        <v>View</v>
      </c>
    </row>
    <row r="1697" spans="1:21" ht="61.2">
      <c r="A1697" s="6">
        <v>43425.002847222218</v>
      </c>
      <c r="B1697" s="7" t="str">
        <f>HYPERLINK("https://twitter.com/LulydelMar","@LulydelMar")</f>
        <v>@LulydelMar</v>
      </c>
      <c r="C1697" s="8" t="s">
        <v>4199</v>
      </c>
      <c r="D1697" s="9" t="s">
        <v>4200</v>
      </c>
      <c r="E1697" s="10" t="str">
        <f>HYPERLINK("https://twitter.com/LulydelMar/status/1065017973440688128","1065017973440688128")</f>
        <v>1065017973440688128</v>
      </c>
      <c r="F1697" s="16" t="s">
        <v>4201</v>
      </c>
      <c r="G1697" s="11" t="s">
        <v>4202</v>
      </c>
      <c r="H1697" s="12"/>
      <c r="I1697" s="13">
        <v>0</v>
      </c>
      <c r="J1697" s="13">
        <v>0</v>
      </c>
      <c r="K1697" s="14" t="str">
        <f t="shared" si="363"/>
        <v>Twitter Web Client</v>
      </c>
      <c r="L1697" s="13">
        <v>422</v>
      </c>
      <c r="M1697" s="13">
        <v>435</v>
      </c>
      <c r="N1697" s="13">
        <v>5</v>
      </c>
      <c r="O1697" s="15"/>
      <c r="P1697" s="6">
        <v>42008.268900462965</v>
      </c>
      <c r="Q1697" s="16" t="s">
        <v>4203</v>
      </c>
      <c r="R1697" s="17" t="s">
        <v>4204</v>
      </c>
      <c r="S1697" s="12"/>
      <c r="T1697" s="12"/>
      <c r="U1697" s="10" t="str">
        <f>HYPERLINK("https://pbs.twimg.com/profile_images/973074898213097472/SJuyjlT7.jpg","View")</f>
        <v>View</v>
      </c>
    </row>
    <row r="1698" spans="1:21" ht="51">
      <c r="A1698" s="6">
        <v>43425.001388888893</v>
      </c>
      <c r="B1698" s="7" t="str">
        <f t="shared" ref="B1698:B1699" si="364">HYPERLINK("https://twitter.com/bitMomentum","@bitMomentum")</f>
        <v>@bitMomentum</v>
      </c>
      <c r="C1698" s="8" t="s">
        <v>706</v>
      </c>
      <c r="D1698" s="9" t="s">
        <v>4205</v>
      </c>
      <c r="E1698" s="10" t="str">
        <f>HYPERLINK("https://twitter.com/bitMomentum/status/1065017443201048576","1065017443201048576")</f>
        <v>1065017443201048576</v>
      </c>
      <c r="F1698" s="12"/>
      <c r="G1698" s="12"/>
      <c r="H1698" s="12"/>
      <c r="I1698" s="13">
        <v>0</v>
      </c>
      <c r="J1698" s="13">
        <v>0</v>
      </c>
      <c r="K1698" s="14" t="str">
        <f t="shared" ref="K1698:K1699" si="365">HYPERLINK("http://www.bitmomentum.com","bitMomentum Bot")</f>
        <v>bitMomentum Bot</v>
      </c>
      <c r="L1698" s="13">
        <v>10132</v>
      </c>
      <c r="M1698" s="13">
        <v>1060</v>
      </c>
      <c r="N1698" s="13">
        <v>262</v>
      </c>
      <c r="O1698" s="15"/>
      <c r="P1698" s="6">
        <v>41608.667511574073</v>
      </c>
      <c r="Q1698" s="12"/>
      <c r="R1698" s="17" t="s">
        <v>708</v>
      </c>
      <c r="S1698" s="11" t="s">
        <v>709</v>
      </c>
      <c r="T1698" s="12"/>
      <c r="U1698" s="10" t="str">
        <f t="shared" ref="U1698:U1699" si="366">HYPERLINK("https://pbs.twimg.com/profile_images/378800000862185241/20ij2H3u.png","View")</f>
        <v>View</v>
      </c>
    </row>
    <row r="1699" spans="1:21" ht="40.799999999999997">
      <c r="A1699" s="6">
        <v>43425.000694444447</v>
      </c>
      <c r="B1699" s="7" t="str">
        <f t="shared" si="364"/>
        <v>@bitMomentum</v>
      </c>
      <c r="C1699" s="8" t="s">
        <v>706</v>
      </c>
      <c r="D1699" s="9" t="s">
        <v>4207</v>
      </c>
      <c r="E1699" s="10" t="str">
        <f>HYPERLINK("https://twitter.com/bitMomentum/status/1065017191433670657","1065017191433670657")</f>
        <v>1065017191433670657</v>
      </c>
      <c r="F1699" s="12"/>
      <c r="G1699" s="12"/>
      <c r="H1699" s="12"/>
      <c r="I1699" s="13">
        <v>1</v>
      </c>
      <c r="J1699" s="13">
        <v>2</v>
      </c>
      <c r="K1699" s="14" t="str">
        <f t="shared" si="365"/>
        <v>bitMomentum Bot</v>
      </c>
      <c r="L1699" s="13">
        <v>10132</v>
      </c>
      <c r="M1699" s="13">
        <v>1060</v>
      </c>
      <c r="N1699" s="13">
        <v>262</v>
      </c>
      <c r="O1699" s="15"/>
      <c r="P1699" s="6">
        <v>41608.667511574073</v>
      </c>
      <c r="Q1699" s="12"/>
      <c r="R1699" s="17" t="s">
        <v>708</v>
      </c>
      <c r="S1699" s="11" t="s">
        <v>709</v>
      </c>
      <c r="T1699" s="12"/>
      <c r="U1699" s="10" t="str">
        <f t="shared" si="366"/>
        <v>View</v>
      </c>
    </row>
    <row r="1700" spans="1:21" ht="20.399999999999999">
      <c r="A1700" s="6">
        <v>43424.996770833328</v>
      </c>
      <c r="B1700" s="7" t="str">
        <f>HYPERLINK("https://twitter.com/pasiondelatino","@pasiondelatino")</f>
        <v>@pasiondelatino</v>
      </c>
      <c r="C1700" s="8" t="s">
        <v>6982</v>
      </c>
      <c r="D1700" s="9" t="s">
        <v>6983</v>
      </c>
      <c r="E1700" s="10" t="str">
        <f>HYPERLINK("https://twitter.com/pasiondelatino/status/1065015770952937472","1065015770952937472")</f>
        <v>1065015770952937472</v>
      </c>
      <c r="F1700" s="11" t="s">
        <v>5034</v>
      </c>
      <c r="G1700" s="12"/>
      <c r="H1700" s="12"/>
      <c r="I1700" s="13">
        <v>0</v>
      </c>
      <c r="J1700" s="13">
        <v>0</v>
      </c>
      <c r="K1700" s="14" t="str">
        <f>HYPERLINK("https://paper.li","Paper.li")</f>
        <v>Paper.li</v>
      </c>
      <c r="L1700" s="13">
        <v>0</v>
      </c>
      <c r="M1700" s="13">
        <v>28</v>
      </c>
      <c r="N1700" s="13">
        <v>0</v>
      </c>
      <c r="O1700" s="15"/>
      <c r="P1700" s="6">
        <v>42728.68377314815</v>
      </c>
      <c r="Q1700" s="12"/>
      <c r="R1700" s="19"/>
      <c r="S1700" s="12"/>
      <c r="T1700" s="12"/>
      <c r="U1700" s="10" t="str">
        <f>HYPERLINK("https://pbs.twimg.com/profile_images/817877822861615104/cXL3Zoku.jpg","View")</f>
        <v>View</v>
      </c>
    </row>
    <row r="1701" spans="1:21" ht="40.799999999999997">
      <c r="A1701" s="6">
        <v>43424.99454861111</v>
      </c>
      <c r="B1701" s="7" t="str">
        <f>HYPERLINK("https://twitter.com/enriquedediegov","@enriquedediegov")</f>
        <v>@enriquedediegov</v>
      </c>
      <c r="C1701" s="8" t="s">
        <v>6915</v>
      </c>
      <c r="D1701" s="9" t="s">
        <v>6984</v>
      </c>
      <c r="E1701" s="10" t="str">
        <f>HYPERLINK("https://twitter.com/enriquedediegov/status/1065014966443536385","1065014966443536385")</f>
        <v>1065014966443536385</v>
      </c>
      <c r="F1701" s="11" t="s">
        <v>6985</v>
      </c>
      <c r="G1701" s="12"/>
      <c r="H1701" s="12"/>
      <c r="I1701" s="13">
        <v>0</v>
      </c>
      <c r="J1701" s="13">
        <v>0</v>
      </c>
      <c r="K1701" s="14" t="str">
        <f>HYPERLINK("http://twitter.com","Twitter Web Client")</f>
        <v>Twitter Web Client</v>
      </c>
      <c r="L1701" s="13">
        <v>7717</v>
      </c>
      <c r="M1701" s="13">
        <v>6025</v>
      </c>
      <c r="N1701" s="13">
        <v>180</v>
      </c>
      <c r="O1701" s="15"/>
      <c r="P1701" s="6">
        <v>41293.717129629629</v>
      </c>
      <c r="Q1701" s="16" t="s">
        <v>37</v>
      </c>
      <c r="R1701" s="17" t="s">
        <v>6919</v>
      </c>
      <c r="S1701" s="11" t="s">
        <v>6920</v>
      </c>
      <c r="T1701" s="12"/>
      <c r="U1701" s="10" t="str">
        <f>HYPERLINK("https://pbs.twimg.com/profile_images/3129623790/4ae197d01442e05dee4622297c3b9642.jpeg","View")</f>
        <v>View</v>
      </c>
    </row>
    <row r="1702" spans="1:21" ht="40.799999999999997">
      <c r="A1702" s="6">
        <v>43424.991111111114</v>
      </c>
      <c r="B1702" s="7" t="str">
        <f>HYPERLINK("https://twitter.com/Noe_Urdangaray","@Noe_Urdangaray")</f>
        <v>@Noe_Urdangaray</v>
      </c>
      <c r="C1702" s="8" t="s">
        <v>6986</v>
      </c>
      <c r="D1702" s="9" t="s">
        <v>6489</v>
      </c>
      <c r="E1702" s="10" t="str">
        <f>HYPERLINK("https://twitter.com/Noe_Urdangaray/status/1065013721880248320","1065013721880248320")</f>
        <v>1065013721880248320</v>
      </c>
      <c r="F1702" s="11" t="s">
        <v>6499</v>
      </c>
      <c r="G1702" s="12"/>
      <c r="H1702" s="12"/>
      <c r="I1702" s="13">
        <v>0</v>
      </c>
      <c r="J1702" s="13">
        <v>0</v>
      </c>
      <c r="K1702" s="14" t="str">
        <f>HYPERLINK("http://twitter.com/download/android","Twitter for Android")</f>
        <v>Twitter for Android</v>
      </c>
      <c r="L1702" s="13">
        <v>1954</v>
      </c>
      <c r="M1702" s="13">
        <v>407</v>
      </c>
      <c r="N1702" s="13">
        <v>241</v>
      </c>
      <c r="O1702" s="15"/>
      <c r="P1702" s="6">
        <v>40830.069502314815</v>
      </c>
      <c r="Q1702" s="16" t="s">
        <v>106</v>
      </c>
      <c r="R1702" s="17" t="s">
        <v>6987</v>
      </c>
      <c r="S1702" s="12"/>
      <c r="T1702" s="12"/>
      <c r="U1702" s="10" t="str">
        <f>HYPERLINK("https://pbs.twimg.com/profile_images/723598082986893316/gr5N5pXY.jpg","View")</f>
        <v>View</v>
      </c>
    </row>
    <row r="1703" spans="1:21" ht="30.6">
      <c r="A1703" s="6">
        <v>43424.989583333328</v>
      </c>
      <c r="B1703" s="7" t="str">
        <f>HYPERLINK("https://twitter.com/ElHuffPost","@ElHuffPost")</f>
        <v>@ElHuffPost</v>
      </c>
      <c r="C1703" s="8" t="s">
        <v>6203</v>
      </c>
      <c r="D1703" s="9" t="s">
        <v>6204</v>
      </c>
      <c r="E1703" s="10" t="str">
        <f>HYPERLINK("https://twitter.com/ElHuffPost/status/1065013166050967552","1065013166050967552")</f>
        <v>1065013166050967552</v>
      </c>
      <c r="F1703" s="11" t="s">
        <v>1709</v>
      </c>
      <c r="G1703" s="12"/>
      <c r="H1703" s="12"/>
      <c r="I1703" s="13">
        <v>1</v>
      </c>
      <c r="J1703" s="13">
        <v>4</v>
      </c>
      <c r="K1703" s="14" t="str">
        <f>HYPERLINK("https://about.twitter.com/products/tweetdeck","TweetDeck")</f>
        <v>TweetDeck</v>
      </c>
      <c r="L1703" s="13">
        <v>430324</v>
      </c>
      <c r="M1703" s="13">
        <v>1532</v>
      </c>
      <c r="N1703" s="13">
        <v>8188</v>
      </c>
      <c r="O1703" s="18" t="s">
        <v>36</v>
      </c>
      <c r="P1703" s="6">
        <v>40785.027118055557</v>
      </c>
      <c r="Q1703" s="16" t="s">
        <v>440</v>
      </c>
      <c r="R1703" s="17" t="s">
        <v>6205</v>
      </c>
      <c r="S1703" s="11" t="s">
        <v>6206</v>
      </c>
      <c r="T1703" s="12"/>
      <c r="U1703" s="10" t="str">
        <f>HYPERLINK("https://pbs.twimg.com/profile_images/921140803422089217/ETOEUOAx.jpg","View")</f>
        <v>View</v>
      </c>
    </row>
    <row r="1704" spans="1:21" ht="30.6">
      <c r="A1704" s="6">
        <v>43424.989351851851</v>
      </c>
      <c r="B1704" s="7" t="str">
        <f>HYPERLINK("https://twitter.com/Lo_Tio_Collons","@Lo_Tio_Collons")</f>
        <v>@Lo_Tio_Collons</v>
      </c>
      <c r="C1704" s="8" t="s">
        <v>6967</v>
      </c>
      <c r="D1704" s="9" t="s">
        <v>6988</v>
      </c>
      <c r="E1704" s="10" t="str">
        <f>HYPERLINK("https://twitter.com/Lo_Tio_Collons/status/1065013083297456129","1065013083297456129")</f>
        <v>1065013083297456129</v>
      </c>
      <c r="F1704" s="12"/>
      <c r="G1704" s="11" t="s">
        <v>6989</v>
      </c>
      <c r="H1704" s="12"/>
      <c r="I1704" s="13">
        <v>2</v>
      </c>
      <c r="J1704" s="13">
        <v>10</v>
      </c>
      <c r="K1704" s="14" t="str">
        <f>HYPERLINK("http://twitter.com/#!/download/ipad","Twitter for iPad")</f>
        <v>Twitter for iPad</v>
      </c>
      <c r="L1704" s="13">
        <v>3261</v>
      </c>
      <c r="M1704" s="13">
        <v>29</v>
      </c>
      <c r="N1704" s="13">
        <v>26</v>
      </c>
      <c r="O1704" s="15"/>
      <c r="P1704" s="6">
        <v>42026.686423611114</v>
      </c>
      <c r="Q1704" s="16" t="s">
        <v>448</v>
      </c>
      <c r="R1704" s="17" t="s">
        <v>6970</v>
      </c>
      <c r="S1704" s="12"/>
      <c r="T1704" s="12"/>
      <c r="U1704" s="10" t="str">
        <f>HYPERLINK("https://pbs.twimg.com/profile_images/921426999809228800/6_uK8eFB.jpg","View")</f>
        <v>View</v>
      </c>
    </row>
    <row r="1705" spans="1:21" ht="20.399999999999999">
      <c r="A1705" s="6">
        <v>43424.988888888889</v>
      </c>
      <c r="B1705" s="7" t="str">
        <f>HYPERLINK("https://twitter.com/VCAM63","@VCAM63")</f>
        <v>@VCAM63</v>
      </c>
      <c r="C1705" s="8" t="s">
        <v>6990</v>
      </c>
      <c r="D1705" s="9" t="s">
        <v>6991</v>
      </c>
      <c r="E1705" s="10" t="str">
        <f>HYPERLINK("https://twitter.com/VCAM63/status/1065012914615144448","1065012914615144448")</f>
        <v>1065012914615144448</v>
      </c>
      <c r="F1705" s="11" t="s">
        <v>4887</v>
      </c>
      <c r="G1705" s="12"/>
      <c r="H1705" s="12"/>
      <c r="I1705" s="13">
        <v>2</v>
      </c>
      <c r="J1705" s="13">
        <v>2</v>
      </c>
      <c r="K1705" s="14" t="str">
        <f>HYPERLINK("http://twitter.com/download/iphone","Twitter for iPhone")</f>
        <v>Twitter for iPhone</v>
      </c>
      <c r="L1705" s="13">
        <v>4168</v>
      </c>
      <c r="M1705" s="13">
        <v>3452</v>
      </c>
      <c r="N1705" s="13">
        <v>45</v>
      </c>
      <c r="O1705" s="15"/>
      <c r="P1705" s="6">
        <v>40452.838506944448</v>
      </c>
      <c r="Q1705" s="12"/>
      <c r="R1705" s="17" t="s">
        <v>6992</v>
      </c>
      <c r="S1705" s="12"/>
      <c r="T1705" s="12"/>
      <c r="U1705" s="10" t="str">
        <f>HYPERLINK("https://pbs.twimg.com/profile_images/2801923523/a82d300265c5722e110eb9be8bdfc97b.jpeg","View")</f>
        <v>View</v>
      </c>
    </row>
    <row r="1706" spans="1:21" ht="40.799999999999997">
      <c r="A1706" s="6">
        <v>43424.988865740743</v>
      </c>
      <c r="B1706" s="7" t="str">
        <f>HYPERLINK("https://twitter.com/juanortiz076","@juanortiz076")</f>
        <v>@juanortiz076</v>
      </c>
      <c r="C1706" s="8" t="s">
        <v>1209</v>
      </c>
      <c r="D1706" s="9" t="s">
        <v>6993</v>
      </c>
      <c r="E1706" s="10" t="str">
        <f>HYPERLINK("https://twitter.com/juanortiz076/status/1065012906759208960","1065012906759208960")</f>
        <v>1065012906759208960</v>
      </c>
      <c r="F1706" s="11" t="s">
        <v>6994</v>
      </c>
      <c r="G1706" s="12"/>
      <c r="H1706" s="12"/>
      <c r="I1706" s="13">
        <v>0</v>
      </c>
      <c r="J1706" s="13">
        <v>0</v>
      </c>
      <c r="K1706" s="14" t="str">
        <f>HYPERLINK("http://twitter.com/download/android","Twitter for Android")</f>
        <v>Twitter for Android</v>
      </c>
      <c r="L1706" s="13">
        <v>3818</v>
      </c>
      <c r="M1706" s="13">
        <v>3796</v>
      </c>
      <c r="N1706" s="13">
        <v>14</v>
      </c>
      <c r="O1706" s="15"/>
      <c r="P1706" s="6">
        <v>42159.128587962958</v>
      </c>
      <c r="Q1706" s="16" t="s">
        <v>1214</v>
      </c>
      <c r="R1706" s="17" t="s">
        <v>1215</v>
      </c>
      <c r="S1706" s="12"/>
      <c r="T1706" s="12"/>
      <c r="U1706" s="10" t="str">
        <f>HYPERLINK("https://pbs.twimg.com/profile_images/1040108619843489794/3N6Z4LBp.jpg","View")</f>
        <v>View</v>
      </c>
    </row>
    <row r="1707" spans="1:21" ht="20.399999999999999">
      <c r="A1707" s="6">
        <v>43424.987037037034</v>
      </c>
      <c r="B1707" s="7" t="str">
        <f>HYPERLINK("https://twitter.com/Anacaan","@Anacaan")</f>
        <v>@Anacaan</v>
      </c>
      <c r="C1707" s="8" t="s">
        <v>6995</v>
      </c>
      <c r="D1707" s="9" t="s">
        <v>6996</v>
      </c>
      <c r="E1707" s="10" t="str">
        <f>HYPERLINK("https://twitter.com/Anacaan/status/1065012242415013890","1065012242415013890")</f>
        <v>1065012242415013890</v>
      </c>
      <c r="F1707" s="11" t="s">
        <v>4215</v>
      </c>
      <c r="G1707" s="12"/>
      <c r="H1707" s="12"/>
      <c r="I1707" s="13">
        <v>1</v>
      </c>
      <c r="J1707" s="13">
        <v>2</v>
      </c>
      <c r="K1707" s="14" t="str">
        <f>HYPERLINK("http://twitter.com/download/iphone","Twitter for iPhone")</f>
        <v>Twitter for iPhone</v>
      </c>
      <c r="L1707" s="13">
        <v>305</v>
      </c>
      <c r="M1707" s="13">
        <v>447</v>
      </c>
      <c r="N1707" s="13">
        <v>0</v>
      </c>
      <c r="O1707" s="15"/>
      <c r="P1707" s="6">
        <v>40499.680069444446</v>
      </c>
      <c r="Q1707" s="16" t="s">
        <v>6997</v>
      </c>
      <c r="R1707" s="17" t="s">
        <v>6998</v>
      </c>
      <c r="S1707" s="12"/>
      <c r="T1707" s="12"/>
      <c r="U1707" s="10" t="str">
        <f>HYPERLINK("https://pbs.twimg.com/profile_images/1053413999826612224/BI-zQZsh.jpg","View")</f>
        <v>View</v>
      </c>
    </row>
    <row r="1708" spans="1:21" ht="51">
      <c r="A1708" s="6">
        <v>43424.986666666664</v>
      </c>
      <c r="B1708" s="7" t="str">
        <f>HYPERLINK("https://twitter.com/Guille_Errejon","@Guille_Errejon")</f>
        <v>@Guille_Errejon</v>
      </c>
      <c r="C1708" s="8" t="s">
        <v>6999</v>
      </c>
      <c r="D1708" s="9" t="s">
        <v>7000</v>
      </c>
      <c r="E1708" s="10" t="str">
        <f>HYPERLINK("https://twitter.com/Guille_Errejon/status/1065012108901928960","1065012108901928960")</f>
        <v>1065012108901928960</v>
      </c>
      <c r="F1708" s="12"/>
      <c r="G1708" s="12"/>
      <c r="H1708" s="12"/>
      <c r="I1708" s="13">
        <v>3</v>
      </c>
      <c r="J1708" s="13">
        <v>8</v>
      </c>
      <c r="K1708" s="14" t="str">
        <f>HYPERLINK("https://mobile.twitter.com","Twitter Lite")</f>
        <v>Twitter Lite</v>
      </c>
      <c r="L1708" s="13">
        <v>3983</v>
      </c>
      <c r="M1708" s="13">
        <v>713</v>
      </c>
      <c r="N1708" s="13">
        <v>32</v>
      </c>
      <c r="O1708" s="15"/>
      <c r="P1708" s="6">
        <v>42421.86100694444</v>
      </c>
      <c r="Q1708" s="16" t="s">
        <v>7001</v>
      </c>
      <c r="R1708" s="17" t="s">
        <v>7002</v>
      </c>
      <c r="S1708" s="11" t="s">
        <v>7003</v>
      </c>
      <c r="T1708" s="12"/>
      <c r="U1708" s="10" t="str">
        <f>HYPERLINK("https://pbs.twimg.com/profile_images/955213641556611075/C8VPGUeE.jpg","View")</f>
        <v>View</v>
      </c>
    </row>
    <row r="1709" spans="1:21" ht="20.399999999999999">
      <c r="A1709" s="6">
        <v>43424.986435185187</v>
      </c>
      <c r="B1709" s="7" t="str">
        <f>HYPERLINK("https://twitter.com/Anacaan","@Anacaan")</f>
        <v>@Anacaan</v>
      </c>
      <c r="C1709" s="8" t="s">
        <v>6995</v>
      </c>
      <c r="D1709" s="9" t="s">
        <v>7004</v>
      </c>
      <c r="E1709" s="10" t="str">
        <f>HYPERLINK("https://twitter.com/Anacaan/status/1065012024248283147","1065012024248283147")</f>
        <v>1065012024248283147</v>
      </c>
      <c r="F1709" s="11" t="s">
        <v>4465</v>
      </c>
      <c r="G1709" s="12"/>
      <c r="H1709" s="12"/>
      <c r="I1709" s="13">
        <v>0</v>
      </c>
      <c r="J1709" s="13">
        <v>0</v>
      </c>
      <c r="K1709" s="14" t="str">
        <f>HYPERLINK("http://twitter.com/download/iphone","Twitter for iPhone")</f>
        <v>Twitter for iPhone</v>
      </c>
      <c r="L1709" s="13">
        <v>305</v>
      </c>
      <c r="M1709" s="13">
        <v>447</v>
      </c>
      <c r="N1709" s="13">
        <v>0</v>
      </c>
      <c r="O1709" s="15"/>
      <c r="P1709" s="6">
        <v>40499.680069444446</v>
      </c>
      <c r="Q1709" s="16" t="s">
        <v>6997</v>
      </c>
      <c r="R1709" s="17" t="s">
        <v>6998</v>
      </c>
      <c r="S1709" s="12"/>
      <c r="T1709" s="12"/>
      <c r="U1709" s="10" t="str">
        <f>HYPERLINK("https://pbs.twimg.com/profile_images/1053413999826612224/BI-zQZsh.jpg","View")</f>
        <v>View</v>
      </c>
    </row>
    <row r="1710" spans="1:21" ht="51">
      <c r="A1710" s="6">
        <v>43424.986284722225</v>
      </c>
      <c r="B1710" s="7" t="str">
        <f>HYPERLINK("https://twitter.com/jesus_pga","@jesus_pga")</f>
        <v>@jesus_pga</v>
      </c>
      <c r="C1710" s="8" t="s">
        <v>887</v>
      </c>
      <c r="D1710" s="9" t="s">
        <v>4208</v>
      </c>
      <c r="E1710" s="10" t="str">
        <f>HYPERLINK("https://twitter.com/jesus_pga/status/1065011969370017792","1065011969370017792")</f>
        <v>1065011969370017792</v>
      </c>
      <c r="F1710" s="12"/>
      <c r="G1710" s="12"/>
      <c r="H1710" s="12"/>
      <c r="I1710" s="13">
        <v>1</v>
      </c>
      <c r="J1710" s="13">
        <v>1</v>
      </c>
      <c r="K1710" s="14" t="str">
        <f t="shared" ref="K1710:K1713" si="367">HYPERLINK("http://twitter.com/download/android","Twitter for Android")</f>
        <v>Twitter for Android</v>
      </c>
      <c r="L1710" s="13">
        <v>210</v>
      </c>
      <c r="M1710" s="13">
        <v>178</v>
      </c>
      <c r="N1710" s="13">
        <v>8</v>
      </c>
      <c r="O1710" s="15"/>
      <c r="P1710" s="6">
        <v>41858.374571759261</v>
      </c>
      <c r="Q1710" s="16" t="s">
        <v>889</v>
      </c>
      <c r="R1710" s="17" t="s">
        <v>890</v>
      </c>
      <c r="S1710" s="12"/>
      <c r="T1710" s="12"/>
      <c r="U1710" s="10" t="str">
        <f>HYPERLINK("https://pbs.twimg.com/profile_images/753002159583690753/E47aRUdS.jpg","View")</f>
        <v>View</v>
      </c>
    </row>
    <row r="1711" spans="1:21" ht="71.400000000000006">
      <c r="A1711" s="6">
        <v>43424.985925925925</v>
      </c>
      <c r="B1711" s="7" t="str">
        <f>HYPERLINK("https://twitter.com/LuisBatteman","@LuisBatteman")</f>
        <v>@LuisBatteman</v>
      </c>
      <c r="C1711" s="8" t="s">
        <v>769</v>
      </c>
      <c r="D1711" s="9" t="s">
        <v>4209</v>
      </c>
      <c r="E1711" s="10" t="str">
        <f>HYPERLINK("https://twitter.com/LuisBatteman/status/1065011840961429505","1065011840961429505")</f>
        <v>1065011840961429505</v>
      </c>
      <c r="F1711" s="11" t="s">
        <v>4210</v>
      </c>
      <c r="G1711" s="11" t="s">
        <v>4211</v>
      </c>
      <c r="H1711" s="12"/>
      <c r="I1711" s="13">
        <v>2</v>
      </c>
      <c r="J1711" s="13">
        <v>3</v>
      </c>
      <c r="K1711" s="14" t="str">
        <f t="shared" si="367"/>
        <v>Twitter for Android</v>
      </c>
      <c r="L1711" s="13">
        <v>1731</v>
      </c>
      <c r="M1711" s="13">
        <v>2195</v>
      </c>
      <c r="N1711" s="13">
        <v>31</v>
      </c>
      <c r="O1711" s="15"/>
      <c r="P1711" s="6">
        <v>40122.007476851853</v>
      </c>
      <c r="Q1711" s="16" t="s">
        <v>774</v>
      </c>
      <c r="R1711" s="17" t="s">
        <v>775</v>
      </c>
      <c r="S1711" s="12"/>
      <c r="T1711" s="12"/>
      <c r="U1711" s="10" t="str">
        <f>HYPERLINK("https://pbs.twimg.com/profile_images/730904453025546242/36bcf-X7.jpg","View")</f>
        <v>View</v>
      </c>
    </row>
    <row r="1712" spans="1:21" ht="40.799999999999997">
      <c r="A1712" s="6">
        <v>43424.985810185186</v>
      </c>
      <c r="B1712" s="7" t="str">
        <f>HYPERLINK("https://twitter.com/Wertyalord1","@Wertyalord1")</f>
        <v>@Wertyalord1</v>
      </c>
      <c r="C1712" s="8" t="s">
        <v>6516</v>
      </c>
      <c r="D1712" s="9" t="s">
        <v>7005</v>
      </c>
      <c r="E1712" s="10" t="str">
        <f>HYPERLINK("https://twitter.com/Wertyalord1/status/1065011801077751808","1065011801077751808")</f>
        <v>1065011801077751808</v>
      </c>
      <c r="F1712" s="16" t="s">
        <v>3675</v>
      </c>
      <c r="G1712" s="12"/>
      <c r="H1712" s="12"/>
      <c r="I1712" s="13">
        <v>0</v>
      </c>
      <c r="J1712" s="13">
        <v>0</v>
      </c>
      <c r="K1712" s="14" t="str">
        <f t="shared" si="367"/>
        <v>Twitter for Android</v>
      </c>
      <c r="L1712" s="13">
        <v>4591</v>
      </c>
      <c r="M1712" s="13">
        <v>3215</v>
      </c>
      <c r="N1712" s="13">
        <v>102</v>
      </c>
      <c r="O1712" s="15"/>
      <c r="P1712" s="6">
        <v>41363.48951388889</v>
      </c>
      <c r="Q1712" s="16" t="s">
        <v>6518</v>
      </c>
      <c r="R1712" s="17" t="s">
        <v>6519</v>
      </c>
      <c r="S1712" s="12"/>
      <c r="T1712" s="12"/>
      <c r="U1712" s="10" t="str">
        <f>HYPERLINK("https://pbs.twimg.com/profile_images/1003671021361205249/sAzGWgYk.jpg","View")</f>
        <v>View</v>
      </c>
    </row>
    <row r="1713" spans="1:21" ht="30.6">
      <c r="A1713" s="6">
        <v>43424.978726851856</v>
      </c>
      <c r="B1713" s="7" t="str">
        <f>HYPERLINK("https://twitter.com/Domicialucida","@Domicialucida")</f>
        <v>@Domicialucida</v>
      </c>
      <c r="C1713" s="8" t="s">
        <v>4213</v>
      </c>
      <c r="D1713" s="9" t="s">
        <v>4214</v>
      </c>
      <c r="E1713" s="10" t="str">
        <f>HYPERLINK("https://twitter.com/Domicialucida/status/1065009231311659009","1065009231311659009")</f>
        <v>1065009231311659009</v>
      </c>
      <c r="F1713" s="11" t="s">
        <v>4215</v>
      </c>
      <c r="G1713" s="12"/>
      <c r="H1713" s="12"/>
      <c r="I1713" s="13">
        <v>0</v>
      </c>
      <c r="J1713" s="13">
        <v>1</v>
      </c>
      <c r="K1713" s="14" t="str">
        <f t="shared" si="367"/>
        <v>Twitter for Android</v>
      </c>
      <c r="L1713" s="13">
        <v>1086</v>
      </c>
      <c r="M1713" s="13">
        <v>2107</v>
      </c>
      <c r="N1713" s="13">
        <v>138</v>
      </c>
      <c r="O1713" s="15"/>
      <c r="P1713" s="6">
        <v>41183.839270833334</v>
      </c>
      <c r="Q1713" s="12"/>
      <c r="R1713" s="17" t="s">
        <v>4216</v>
      </c>
      <c r="S1713" s="12"/>
      <c r="T1713" s="12"/>
      <c r="U1713" s="10" t="str">
        <f>HYPERLINK("https://pbs.twimg.com/profile_images/378800000139087029/f0caad25cd9c083d610355810060f3b8.jpeg","View")</f>
        <v>View</v>
      </c>
    </row>
    <row r="1714" spans="1:21" ht="40.799999999999997">
      <c r="A1714" s="6">
        <v>43424.978668981479</v>
      </c>
      <c r="B1714" s="7" t="str">
        <f>HYPERLINK("https://twitter.com/enriquedediegov","@enriquedediegov")</f>
        <v>@enriquedediegov</v>
      </c>
      <c r="C1714" s="8" t="s">
        <v>6915</v>
      </c>
      <c r="D1714" s="9" t="s">
        <v>6984</v>
      </c>
      <c r="E1714" s="10" t="str">
        <f>HYPERLINK("https://twitter.com/enriquedediegov/status/1065009212311379969","1065009212311379969")</f>
        <v>1065009212311379969</v>
      </c>
      <c r="F1714" s="11" t="s">
        <v>7006</v>
      </c>
      <c r="G1714" s="12"/>
      <c r="H1714" s="12"/>
      <c r="I1714" s="13">
        <v>0</v>
      </c>
      <c r="J1714" s="13">
        <v>0</v>
      </c>
      <c r="K1714" s="14" t="str">
        <f>HYPERLINK("http://twitter.com","Twitter Web Client")</f>
        <v>Twitter Web Client</v>
      </c>
      <c r="L1714" s="13">
        <v>7717</v>
      </c>
      <c r="M1714" s="13">
        <v>6025</v>
      </c>
      <c r="N1714" s="13">
        <v>180</v>
      </c>
      <c r="O1714" s="15"/>
      <c r="P1714" s="6">
        <v>41293.717129629629</v>
      </c>
      <c r="Q1714" s="16" t="s">
        <v>37</v>
      </c>
      <c r="R1714" s="17" t="s">
        <v>6919</v>
      </c>
      <c r="S1714" s="11" t="s">
        <v>6920</v>
      </c>
      <c r="T1714" s="12"/>
      <c r="U1714" s="10" t="str">
        <f>HYPERLINK("https://pbs.twimg.com/profile_images/3129623790/4ae197d01442e05dee4622297c3b9642.jpeg","View")</f>
        <v>View</v>
      </c>
    </row>
    <row r="1715" spans="1:21" ht="30.6">
      <c r="A1715" s="6">
        <v>43424.977210648147</v>
      </c>
      <c r="B1715" s="7" t="str">
        <f>HYPERLINK("https://twitter.com/Domicialucida","@Domicialucida")</f>
        <v>@Domicialucida</v>
      </c>
      <c r="C1715" s="8" t="s">
        <v>4213</v>
      </c>
      <c r="D1715" s="9" t="s">
        <v>4217</v>
      </c>
      <c r="E1715" s="10" t="str">
        <f>HYPERLINK("https://twitter.com/Domicialucida/status/1065008681866137601","1065008681866137601")</f>
        <v>1065008681866137601</v>
      </c>
      <c r="F1715" s="11" t="s">
        <v>4218</v>
      </c>
      <c r="G1715" s="12"/>
      <c r="H1715" s="12"/>
      <c r="I1715" s="13">
        <v>0</v>
      </c>
      <c r="J1715" s="13">
        <v>1</v>
      </c>
      <c r="K1715" s="14" t="str">
        <f t="shared" ref="K1715:K1717" si="368">HYPERLINK("http://twitter.com/download/android","Twitter for Android")</f>
        <v>Twitter for Android</v>
      </c>
      <c r="L1715" s="13">
        <v>1086</v>
      </c>
      <c r="M1715" s="13">
        <v>2107</v>
      </c>
      <c r="N1715" s="13">
        <v>138</v>
      </c>
      <c r="O1715" s="15"/>
      <c r="P1715" s="6">
        <v>41183.839270833334</v>
      </c>
      <c r="Q1715" s="12"/>
      <c r="R1715" s="17" t="s">
        <v>4216</v>
      </c>
      <c r="S1715" s="12"/>
      <c r="T1715" s="12"/>
      <c r="U1715" s="10" t="str">
        <f>HYPERLINK("https://pbs.twimg.com/profile_images/378800000139087029/f0caad25cd9c083d610355810060f3b8.jpeg","View")</f>
        <v>View</v>
      </c>
    </row>
    <row r="1716" spans="1:21" ht="20.399999999999999">
      <c r="A1716" s="6">
        <v>43424.976608796293</v>
      </c>
      <c r="B1716" s="7" t="str">
        <f>HYPERLINK("https://twitter.com/lasmica","@lasmica")</f>
        <v>@lasmica</v>
      </c>
      <c r="C1716" s="8" t="s">
        <v>7007</v>
      </c>
      <c r="D1716" s="9" t="s">
        <v>7008</v>
      </c>
      <c r="E1716" s="10" t="str">
        <f>HYPERLINK("https://twitter.com/lasmica/status/1065008465393917965","1065008465393917965")</f>
        <v>1065008465393917965</v>
      </c>
      <c r="F1716" s="12"/>
      <c r="G1716" s="12"/>
      <c r="H1716" s="12"/>
      <c r="I1716" s="13">
        <v>0</v>
      </c>
      <c r="J1716" s="13">
        <v>3</v>
      </c>
      <c r="K1716" s="14" t="str">
        <f t="shared" si="368"/>
        <v>Twitter for Android</v>
      </c>
      <c r="L1716" s="13">
        <v>233</v>
      </c>
      <c r="M1716" s="13">
        <v>333</v>
      </c>
      <c r="N1716" s="13">
        <v>4</v>
      </c>
      <c r="O1716" s="15"/>
      <c r="P1716" s="6">
        <v>40688.3981712963</v>
      </c>
      <c r="Q1716" s="12"/>
      <c r="R1716" s="17" t="s">
        <v>7009</v>
      </c>
      <c r="S1716" s="12"/>
      <c r="T1716" s="12"/>
      <c r="U1716" s="10" t="str">
        <f>HYPERLINK("https://pbs.twimg.com/profile_images/665974701722886144/xGGhoEbx.jpg","View")</f>
        <v>View</v>
      </c>
    </row>
    <row r="1717" spans="1:21" ht="20.399999999999999">
      <c r="A1717" s="6">
        <v>43424.976585648154</v>
      </c>
      <c r="B1717" s="7" t="str">
        <f>HYPERLINK("https://twitter.com/JoanCT31","@JoanCT31")</f>
        <v>@JoanCT31</v>
      </c>
      <c r="C1717" s="8" t="s">
        <v>4219</v>
      </c>
      <c r="D1717" s="9" t="s">
        <v>4220</v>
      </c>
      <c r="E1717" s="10" t="str">
        <f>HYPERLINK("https://twitter.com/JoanCT31/status/1065008455063412738","1065008455063412738")</f>
        <v>1065008455063412738</v>
      </c>
      <c r="F1717" s="12"/>
      <c r="G1717" s="11" t="s">
        <v>4221</v>
      </c>
      <c r="H1717" s="12"/>
      <c r="I1717" s="13">
        <v>0</v>
      </c>
      <c r="J1717" s="13">
        <v>0</v>
      </c>
      <c r="K1717" s="14" t="str">
        <f t="shared" si="368"/>
        <v>Twitter for Android</v>
      </c>
      <c r="L1717" s="13">
        <v>23</v>
      </c>
      <c r="M1717" s="13">
        <v>26</v>
      </c>
      <c r="N1717" s="13">
        <v>0</v>
      </c>
      <c r="O1717" s="15"/>
      <c r="P1717" s="6">
        <v>40468.645439814813</v>
      </c>
      <c r="Q1717" s="16" t="s">
        <v>4222</v>
      </c>
      <c r="R1717" s="17" t="s">
        <v>4223</v>
      </c>
      <c r="S1717" s="12"/>
      <c r="T1717" s="12"/>
      <c r="U1717" s="10" t="str">
        <f>HYPERLINK("https://pbs.twimg.com/profile_images/1041765047071121409/4tlQpmQY.jpg","View")</f>
        <v>View</v>
      </c>
    </row>
    <row r="1718" spans="1:21" ht="40.799999999999997">
      <c r="A1718" s="6">
        <v>43424.976319444446</v>
      </c>
      <c r="B1718" s="7" t="str">
        <f>HYPERLINK("https://twitter.com/Esparroqui","@Esparroqui")</f>
        <v>@Esparroqui</v>
      </c>
      <c r="C1718" s="8" t="s">
        <v>4623</v>
      </c>
      <c r="D1718" s="9" t="s">
        <v>7010</v>
      </c>
      <c r="E1718" s="10" t="str">
        <f>HYPERLINK("https://twitter.com/Esparroqui/status/1065008361362591745","1065008361362591745")</f>
        <v>1065008361362591745</v>
      </c>
      <c r="F1718" s="12"/>
      <c r="G1718" s="12"/>
      <c r="H1718" s="12"/>
      <c r="I1718" s="13">
        <v>10</v>
      </c>
      <c r="J1718" s="13">
        <v>16</v>
      </c>
      <c r="K1718" s="14" t="str">
        <f>HYPERLINK("http://twitter.com","Twitter Web Client")</f>
        <v>Twitter Web Client</v>
      </c>
      <c r="L1718" s="13">
        <v>46540</v>
      </c>
      <c r="M1718" s="13">
        <v>19062</v>
      </c>
      <c r="N1718" s="13">
        <v>316</v>
      </c>
      <c r="O1718" s="15"/>
      <c r="P1718" s="6">
        <v>40877.700613425928</v>
      </c>
      <c r="Q1718" s="16" t="s">
        <v>4626</v>
      </c>
      <c r="R1718" s="17" t="s">
        <v>4627</v>
      </c>
      <c r="S1718" s="11" t="s">
        <v>4628</v>
      </c>
      <c r="T1718" s="12"/>
      <c r="U1718" s="10" t="str">
        <f>HYPERLINK("https://pbs.twimg.com/profile_images/1017537354955882497/9PtegggA.jpg","View")</f>
        <v>View</v>
      </c>
    </row>
    <row r="1719" spans="1:21" ht="20.399999999999999">
      <c r="A1719" s="6">
        <v>43424.975185185191</v>
      </c>
      <c r="B1719" s="7" t="str">
        <f>HYPERLINK("https://twitter.com/CalafJoan","@CalafJoan")</f>
        <v>@CalafJoan</v>
      </c>
      <c r="C1719" s="8" t="s">
        <v>7011</v>
      </c>
      <c r="D1719" s="9" t="s">
        <v>7012</v>
      </c>
      <c r="E1719" s="10" t="str">
        <f>HYPERLINK("https://twitter.com/CalafJoan/status/1065007949985316869","1065007949985316869")</f>
        <v>1065007949985316869</v>
      </c>
      <c r="F1719" s="11" t="s">
        <v>7013</v>
      </c>
      <c r="G1719" s="16" t="s">
        <v>7014</v>
      </c>
      <c r="H1719" s="12"/>
      <c r="I1719" s="13">
        <v>0</v>
      </c>
      <c r="J1719" s="13">
        <v>0</v>
      </c>
      <c r="K1719" s="14" t="str">
        <f t="shared" ref="K1719:K1720" si="369">HYPERLINK("http://twitter.com/download/android","Twitter for Android")</f>
        <v>Twitter for Android</v>
      </c>
      <c r="L1719" s="13">
        <v>0</v>
      </c>
      <c r="M1719" s="13">
        <v>0</v>
      </c>
      <c r="N1719" s="13">
        <v>0</v>
      </c>
      <c r="O1719" s="15"/>
      <c r="P1719" s="6">
        <v>43422.54824074074</v>
      </c>
      <c r="Q1719" s="12"/>
      <c r="R1719" s="17" t="s">
        <v>7015</v>
      </c>
      <c r="S1719" s="12"/>
      <c r="T1719" s="12"/>
      <c r="U1719" s="10" t="str">
        <f>HYPERLINK("https://pbs.twimg.com/profile_images/1064131355821379584/QPf_iUqe.jpg","View")</f>
        <v>View</v>
      </c>
    </row>
    <row r="1720" spans="1:21" ht="40.799999999999997">
      <c r="A1720" s="6">
        <v>43424.974641203706</v>
      </c>
      <c r="B1720" s="7" t="str">
        <f>HYPERLINK("https://twitter.com/Domicialucida","@Domicialucida")</f>
        <v>@Domicialucida</v>
      </c>
      <c r="C1720" s="8" t="s">
        <v>4213</v>
      </c>
      <c r="D1720" s="9" t="s">
        <v>7016</v>
      </c>
      <c r="E1720" s="10" t="str">
        <f>HYPERLINK("https://twitter.com/Domicialucida/status/1065007752446124032","1065007752446124032")</f>
        <v>1065007752446124032</v>
      </c>
      <c r="F1720" s="11" t="s">
        <v>4465</v>
      </c>
      <c r="G1720" s="12"/>
      <c r="H1720" s="12"/>
      <c r="I1720" s="13">
        <v>0</v>
      </c>
      <c r="J1720" s="13">
        <v>1</v>
      </c>
      <c r="K1720" s="14" t="str">
        <f t="shared" si="369"/>
        <v>Twitter for Android</v>
      </c>
      <c r="L1720" s="13">
        <v>1086</v>
      </c>
      <c r="M1720" s="13">
        <v>2107</v>
      </c>
      <c r="N1720" s="13">
        <v>138</v>
      </c>
      <c r="O1720" s="15"/>
      <c r="P1720" s="6">
        <v>41183.839270833334</v>
      </c>
      <c r="Q1720" s="12"/>
      <c r="R1720" s="17" t="s">
        <v>4216</v>
      </c>
      <c r="S1720" s="12"/>
      <c r="T1720" s="12"/>
      <c r="U1720" s="10" t="str">
        <f>HYPERLINK("https://pbs.twimg.com/profile_images/378800000139087029/f0caad25cd9c083d610355810060f3b8.jpeg","View")</f>
        <v>View</v>
      </c>
    </row>
    <row r="1721" spans="1:21" ht="40.799999999999997">
      <c r="A1721" s="6">
        <v>43424.974479166667</v>
      </c>
      <c r="B1721" s="7" t="str">
        <f>HYPERLINK("https://twitter.com/Albert_Rivera","@Albert_Rivera")</f>
        <v>@Albert_Rivera</v>
      </c>
      <c r="C1721" s="8" t="s">
        <v>389</v>
      </c>
      <c r="D1721" s="9" t="s">
        <v>7017</v>
      </c>
      <c r="E1721" s="10" t="str">
        <f>HYPERLINK("https://twitter.com/Albert_Rivera/status/1065007691972567041","1065007691972567041")</f>
        <v>1065007691972567041</v>
      </c>
      <c r="F1721" s="12"/>
      <c r="G1721" s="11" t="s">
        <v>3715</v>
      </c>
      <c r="H1721" s="12"/>
      <c r="I1721" s="13">
        <v>602</v>
      </c>
      <c r="J1721" s="13">
        <v>849</v>
      </c>
      <c r="K1721" s="14" t="str">
        <f>HYPERLINK("http://twitter.com/download/iphone","Twitter for iPhone")</f>
        <v>Twitter for iPhone</v>
      </c>
      <c r="L1721" s="13">
        <v>1071530</v>
      </c>
      <c r="M1721" s="13">
        <v>2545</v>
      </c>
      <c r="N1721" s="13">
        <v>5104</v>
      </c>
      <c r="O1721" s="18" t="s">
        <v>36</v>
      </c>
      <c r="P1721" s="6">
        <v>40205.748171296298</v>
      </c>
      <c r="Q1721" s="16" t="s">
        <v>37</v>
      </c>
      <c r="R1721" s="17" t="s">
        <v>393</v>
      </c>
      <c r="S1721" s="11" t="s">
        <v>394</v>
      </c>
      <c r="T1721" s="12"/>
      <c r="U1721" s="10" t="str">
        <f>HYPERLINK("https://pbs.twimg.com/profile_images/1030708936779988993/RncDM4EZ.jpg","View")</f>
        <v>View</v>
      </c>
    </row>
    <row r="1722" spans="1:21" ht="51">
      <c r="A1722" s="6">
        <v>43424.974050925928</v>
      </c>
      <c r="B1722" s="7" t="str">
        <f>HYPERLINK("https://twitter.com/Esparroqui","@Esparroqui")</f>
        <v>@Esparroqui</v>
      </c>
      <c r="C1722" s="8" t="s">
        <v>4623</v>
      </c>
      <c r="D1722" s="9" t="s">
        <v>7018</v>
      </c>
      <c r="E1722" s="10" t="str">
        <f>HYPERLINK("https://twitter.com/Esparroqui/status/1065007538180157441","1065007538180157441")</f>
        <v>1065007538180157441</v>
      </c>
      <c r="F1722" s="12"/>
      <c r="G1722" s="12"/>
      <c r="H1722" s="12"/>
      <c r="I1722" s="13">
        <v>9</v>
      </c>
      <c r="J1722" s="13">
        <v>13</v>
      </c>
      <c r="K1722" s="14" t="str">
        <f t="shared" ref="K1722:K1723" si="370">HYPERLINK("http://twitter.com","Twitter Web Client")</f>
        <v>Twitter Web Client</v>
      </c>
      <c r="L1722" s="13">
        <v>46540</v>
      </c>
      <c r="M1722" s="13">
        <v>19062</v>
      </c>
      <c r="N1722" s="13">
        <v>316</v>
      </c>
      <c r="O1722" s="15"/>
      <c r="P1722" s="6">
        <v>40877.700613425928</v>
      </c>
      <c r="Q1722" s="16" t="s">
        <v>4626</v>
      </c>
      <c r="R1722" s="17" t="s">
        <v>4627</v>
      </c>
      <c r="S1722" s="11" t="s">
        <v>4628</v>
      </c>
      <c r="T1722" s="12"/>
      <c r="U1722" s="10" t="str">
        <f>HYPERLINK("https://pbs.twimg.com/profile_images/1017537354955882497/9PtegggA.jpg","View")</f>
        <v>View</v>
      </c>
    </row>
    <row r="1723" spans="1:21" ht="40.799999999999997">
      <c r="A1723" s="6">
        <v>43424.97283564815</v>
      </c>
      <c r="B1723" s="7" t="str">
        <f>HYPERLINK("https://twitter.com/cardinaleconnor","@cardinaleconnor")</f>
        <v>@cardinaleconnor</v>
      </c>
      <c r="C1723" s="8" t="s">
        <v>7019</v>
      </c>
      <c r="D1723" s="9" t="s">
        <v>6274</v>
      </c>
      <c r="E1723" s="10" t="str">
        <f>HYPERLINK("https://twitter.com/cardinaleconnor/status/1065007097350418432","1065007097350418432")</f>
        <v>1065007097350418432</v>
      </c>
      <c r="F1723" s="11" t="s">
        <v>4764</v>
      </c>
      <c r="G1723" s="12"/>
      <c r="H1723" s="12"/>
      <c r="I1723" s="13">
        <v>0</v>
      </c>
      <c r="J1723" s="13">
        <v>1</v>
      </c>
      <c r="K1723" s="14" t="str">
        <f t="shared" si="370"/>
        <v>Twitter Web Client</v>
      </c>
      <c r="L1723" s="13">
        <v>899</v>
      </c>
      <c r="M1723" s="13">
        <v>1596</v>
      </c>
      <c r="N1723" s="13">
        <v>12</v>
      </c>
      <c r="O1723" s="15"/>
      <c r="P1723" s="6">
        <v>40787.979074074072</v>
      </c>
      <c r="Q1723" s="12"/>
      <c r="R1723" s="17" t="s">
        <v>7020</v>
      </c>
      <c r="S1723" s="12"/>
      <c r="T1723" s="12"/>
      <c r="U1723" s="10" t="str">
        <f>HYPERLINK("https://pbs.twimg.com/profile_images/1045463376971804672/yIjWZ-J4.jpg","View")</f>
        <v>View</v>
      </c>
    </row>
    <row r="1724" spans="1:21" ht="51">
      <c r="A1724" s="6">
        <v>43424.972222222219</v>
      </c>
      <c r="B1724" s="7" t="str">
        <f>HYPERLINK("https://twitter.com/revista_siempre","@revista_siempre")</f>
        <v>@revista_siempre</v>
      </c>
      <c r="C1724" s="8" t="s">
        <v>4224</v>
      </c>
      <c r="D1724" s="9" t="s">
        <v>4225</v>
      </c>
      <c r="E1724" s="10" t="str">
        <f>HYPERLINK("https://twitter.com/revista_siempre/status/1065006874326532096","1065006874326532096")</f>
        <v>1065006874326532096</v>
      </c>
      <c r="F1724" s="11" t="s">
        <v>4226</v>
      </c>
      <c r="G1724" s="12"/>
      <c r="H1724" s="12"/>
      <c r="I1724" s="13">
        <v>0</v>
      </c>
      <c r="J1724" s="13">
        <v>0</v>
      </c>
      <c r="K1724" s="14" t="str">
        <f>HYPERLINK("https://about.twitter.com/products/tweetdeck","TweetDeck")</f>
        <v>TweetDeck</v>
      </c>
      <c r="L1724" s="13">
        <v>6639</v>
      </c>
      <c r="M1724" s="13">
        <v>1251</v>
      </c>
      <c r="N1724" s="13">
        <v>145</v>
      </c>
      <c r="O1724" s="15"/>
      <c r="P1724" s="6">
        <v>40220.956689814819</v>
      </c>
      <c r="Q1724" s="16" t="s">
        <v>4227</v>
      </c>
      <c r="R1724" s="17" t="s">
        <v>4228</v>
      </c>
      <c r="S1724" s="11" t="s">
        <v>4229</v>
      </c>
      <c r="T1724" s="12"/>
      <c r="U1724" s="10" t="str">
        <f>HYPERLINK("https://pbs.twimg.com/profile_images/1019060869957812224/Tf_KJs4B.jpg","View")</f>
        <v>View</v>
      </c>
    </row>
    <row r="1725" spans="1:21" ht="61.2">
      <c r="A1725" s="6">
        <v>43424.967986111107</v>
      </c>
      <c r="B1725" s="7" t="str">
        <f>HYPERLINK("https://twitter.com/MariaCintaMarti","@MariaCintaMarti")</f>
        <v>@MariaCintaMarti</v>
      </c>
      <c r="C1725" s="8" t="s">
        <v>4231</v>
      </c>
      <c r="D1725" s="9" t="s">
        <v>4232</v>
      </c>
      <c r="E1725" s="10" t="str">
        <f>HYPERLINK("https://twitter.com/MariaCintaMarti/status/1065005341082091520","1065005341082091520")</f>
        <v>1065005341082091520</v>
      </c>
      <c r="F1725" s="12"/>
      <c r="G1725" s="12"/>
      <c r="H1725" s="12"/>
      <c r="I1725" s="13">
        <v>1</v>
      </c>
      <c r="J1725" s="13">
        <v>0</v>
      </c>
      <c r="K1725" s="14" t="str">
        <f>HYPERLINK("http://twitter.com/download/android","Twitter for Android")</f>
        <v>Twitter for Android</v>
      </c>
      <c r="L1725" s="13">
        <v>1318</v>
      </c>
      <c r="M1725" s="13">
        <v>112</v>
      </c>
      <c r="N1725" s="13">
        <v>12</v>
      </c>
      <c r="O1725" s="15"/>
      <c r="P1725" s="6">
        <v>42061.695555555554</v>
      </c>
      <c r="Q1725" s="16" t="s">
        <v>4234</v>
      </c>
      <c r="R1725" s="17" t="s">
        <v>4235</v>
      </c>
      <c r="S1725" s="11" t="s">
        <v>4236</v>
      </c>
      <c r="T1725" s="12"/>
      <c r="U1725" s="10" t="str">
        <f>HYPERLINK("https://pbs.twimg.com/profile_images/1035963707334053888/0WAIkXYX.jpg","View")</f>
        <v>View</v>
      </c>
    </row>
    <row r="1726" spans="1:21" ht="51">
      <c r="A1726" s="6">
        <v>43424.966620370367</v>
      </c>
      <c r="B1726" s="7" t="str">
        <f>HYPERLINK("https://twitter.com/Esparroqui","@Esparroqui")</f>
        <v>@Esparroqui</v>
      </c>
      <c r="C1726" s="8" t="s">
        <v>4623</v>
      </c>
      <c r="D1726" s="9" t="s">
        <v>7021</v>
      </c>
      <c r="E1726" s="10" t="str">
        <f>HYPERLINK("https://twitter.com/Esparroqui/status/1065004843935428609","1065004843935428609")</f>
        <v>1065004843935428609</v>
      </c>
      <c r="F1726" s="12"/>
      <c r="G1726" s="11" t="s">
        <v>7022</v>
      </c>
      <c r="H1726" s="12"/>
      <c r="I1726" s="13">
        <v>16</v>
      </c>
      <c r="J1726" s="13">
        <v>11</v>
      </c>
      <c r="K1726" s="14" t="str">
        <f t="shared" ref="K1726:K1727" si="371">HYPERLINK("http://twitter.com","Twitter Web Client")</f>
        <v>Twitter Web Client</v>
      </c>
      <c r="L1726" s="13">
        <v>46540</v>
      </c>
      <c r="M1726" s="13">
        <v>19062</v>
      </c>
      <c r="N1726" s="13">
        <v>316</v>
      </c>
      <c r="O1726" s="15"/>
      <c r="P1726" s="6">
        <v>40877.700613425928</v>
      </c>
      <c r="Q1726" s="16" t="s">
        <v>4626</v>
      </c>
      <c r="R1726" s="17" t="s">
        <v>4627</v>
      </c>
      <c r="S1726" s="11" t="s">
        <v>4628</v>
      </c>
      <c r="T1726" s="12"/>
      <c r="U1726" s="10" t="str">
        <f>HYPERLINK("https://pbs.twimg.com/profile_images/1017537354955882497/9PtegggA.jpg","View")</f>
        <v>View</v>
      </c>
    </row>
    <row r="1727" spans="1:21" ht="20.399999999999999">
      <c r="A1727" s="6">
        <v>43424.966249999998</v>
      </c>
      <c r="B1727" s="7" t="str">
        <f>HYPERLINK("https://twitter.com/andymakaroff","@andymakaroff")</f>
        <v>@andymakaroff</v>
      </c>
      <c r="C1727" s="8" t="s">
        <v>7023</v>
      </c>
      <c r="D1727" s="9" t="s">
        <v>6472</v>
      </c>
      <c r="E1727" s="10" t="str">
        <f>HYPERLINK("https://twitter.com/andymakaroff/status/1065004709587636224","1065004709587636224")</f>
        <v>1065004709587636224</v>
      </c>
      <c r="F1727" s="11" t="s">
        <v>7024</v>
      </c>
      <c r="G1727" s="12"/>
      <c r="H1727" s="12"/>
      <c r="I1727" s="13">
        <v>0</v>
      </c>
      <c r="J1727" s="13">
        <v>0</v>
      </c>
      <c r="K1727" s="14" t="str">
        <f t="shared" si="371"/>
        <v>Twitter Web Client</v>
      </c>
      <c r="L1727" s="13">
        <v>86</v>
      </c>
      <c r="M1727" s="13">
        <v>1030</v>
      </c>
      <c r="N1727" s="13">
        <v>0</v>
      </c>
      <c r="O1727" s="15"/>
      <c r="P1727" s="6">
        <v>40926.086516203708</v>
      </c>
      <c r="Q1727" s="12"/>
      <c r="R1727" s="19"/>
      <c r="S1727" s="12"/>
      <c r="T1727" s="12"/>
      <c r="U1727" s="10" t="str">
        <f>HYPERLINK("https://pbs.twimg.com/profile_images/1041157059427934209/dfc26yd6.jpg","View")</f>
        <v>View</v>
      </c>
    </row>
    <row r="1728" spans="1:21" ht="20.399999999999999">
      <c r="A1728" s="6">
        <v>43424.965891203705</v>
      </c>
      <c r="B1728" s="7" t="str">
        <f>HYPERLINK("https://twitter.com/NoMePeguesMucho","@NoMePeguesMucho")</f>
        <v>@NoMePeguesMucho</v>
      </c>
      <c r="C1728" s="8" t="s">
        <v>4241</v>
      </c>
      <c r="D1728" s="9" t="s">
        <v>4244</v>
      </c>
      <c r="E1728" s="10" t="str">
        <f>HYPERLINK("https://twitter.com/NoMePeguesMucho/status/1065004582198288385","1065004582198288385")</f>
        <v>1065004582198288385</v>
      </c>
      <c r="F1728" s="12"/>
      <c r="G1728" s="12"/>
      <c r="H1728" s="12"/>
      <c r="I1728" s="13">
        <v>0</v>
      </c>
      <c r="J1728" s="13">
        <v>0</v>
      </c>
      <c r="K1728" s="14" t="str">
        <f>HYPERLINK("http://twitter.com/download/android","Twitter for Android")</f>
        <v>Twitter for Android</v>
      </c>
      <c r="L1728" s="13">
        <v>1104</v>
      </c>
      <c r="M1728" s="13">
        <v>2077</v>
      </c>
      <c r="N1728" s="13">
        <v>10</v>
      </c>
      <c r="O1728" s="15"/>
      <c r="P1728" s="6">
        <v>42443.584340277783</v>
      </c>
      <c r="Q1728" s="12"/>
      <c r="R1728" s="17" t="s">
        <v>4245</v>
      </c>
      <c r="S1728" s="12"/>
      <c r="T1728" s="12"/>
      <c r="U1728" s="10" t="str">
        <f>HYPERLINK("https://pbs.twimg.com/profile_images/937398245827006465/ccVJfGpT.jpg","View")</f>
        <v>View</v>
      </c>
    </row>
    <row r="1729" spans="1:21" ht="30.6">
      <c r="A1729" s="6">
        <v>43424.965277777781</v>
      </c>
      <c r="B1729" s="7" t="str">
        <f>HYPERLINK("https://twitter.com/ElHuffPost","@ElHuffPost")</f>
        <v>@ElHuffPost</v>
      </c>
      <c r="C1729" s="8" t="s">
        <v>6203</v>
      </c>
      <c r="D1729" s="9" t="s">
        <v>6489</v>
      </c>
      <c r="E1729" s="10" t="str">
        <f>HYPERLINK("https://twitter.com/ElHuffPost/status/1065004357639258112","1065004357639258112")</f>
        <v>1065004357639258112</v>
      </c>
      <c r="F1729" s="11" t="s">
        <v>1709</v>
      </c>
      <c r="G1729" s="12"/>
      <c r="H1729" s="12"/>
      <c r="I1729" s="13">
        <v>2</v>
      </c>
      <c r="J1729" s="13">
        <v>4</v>
      </c>
      <c r="K1729" s="14" t="str">
        <f>HYPERLINK("https://about.twitter.com/products/tweetdeck","TweetDeck")</f>
        <v>TweetDeck</v>
      </c>
      <c r="L1729" s="13">
        <v>430324</v>
      </c>
      <c r="M1729" s="13">
        <v>1532</v>
      </c>
      <c r="N1729" s="13">
        <v>8188</v>
      </c>
      <c r="O1729" s="18" t="s">
        <v>36</v>
      </c>
      <c r="P1729" s="6">
        <v>40785.027118055557</v>
      </c>
      <c r="Q1729" s="16" t="s">
        <v>440</v>
      </c>
      <c r="R1729" s="17" t="s">
        <v>6205</v>
      </c>
      <c r="S1729" s="11" t="s">
        <v>6206</v>
      </c>
      <c r="T1729" s="12"/>
      <c r="U1729" s="10" t="str">
        <f>HYPERLINK("https://pbs.twimg.com/profile_images/921140803422089217/ETOEUOAx.jpg","View")</f>
        <v>View</v>
      </c>
    </row>
    <row r="1730" spans="1:21" ht="40.799999999999997">
      <c r="A1730" s="6">
        <v>43424.964363425926</v>
      </c>
      <c r="B1730" s="7" t="str">
        <f>HYPERLINK("https://twitter.com/RubenGisGre","@RubenGisGre")</f>
        <v>@RubenGisGre</v>
      </c>
      <c r="C1730" s="8" t="s">
        <v>2166</v>
      </c>
      <c r="D1730" s="9" t="s">
        <v>7025</v>
      </c>
      <c r="E1730" s="10" t="str">
        <f>HYPERLINK("https://twitter.com/RubenGisGre/status/1065004025404424194","1065004025404424194")</f>
        <v>1065004025404424194</v>
      </c>
      <c r="F1730" s="11" t="s">
        <v>4215</v>
      </c>
      <c r="G1730" s="12"/>
      <c r="H1730" s="12"/>
      <c r="I1730" s="13">
        <v>1</v>
      </c>
      <c r="J1730" s="13">
        <v>2</v>
      </c>
      <c r="K1730" s="14" t="str">
        <f t="shared" ref="K1730:K1731" si="372">HYPERLINK("https://www.hootsuite.com","Hootsuite Inc.")</f>
        <v>Hootsuite Inc.</v>
      </c>
      <c r="L1730" s="13">
        <v>43</v>
      </c>
      <c r="M1730" s="13">
        <v>116</v>
      </c>
      <c r="N1730" s="13">
        <v>0</v>
      </c>
      <c r="O1730" s="15"/>
      <c r="P1730" s="6">
        <v>43326.770543981482</v>
      </c>
      <c r="Q1730" s="16" t="s">
        <v>7026</v>
      </c>
      <c r="R1730" s="17" t="s">
        <v>7027</v>
      </c>
      <c r="S1730" s="12"/>
      <c r="T1730" s="12"/>
      <c r="U1730" s="10" t="str">
        <f>HYPERLINK("https://pbs.twimg.com/profile_images/1029404920942874634/nvE6FPDW.jpg","View")</f>
        <v>View</v>
      </c>
    </row>
    <row r="1731" spans="1:21" ht="20.399999999999999">
      <c r="A1731" s="6">
        <v>43424.963784722218</v>
      </c>
      <c r="B1731" s="7" t="str">
        <f>HYPERLINK("https://twitter.com/CapitnCavernco4","@CapitnCavernco4")</f>
        <v>@CapitnCavernco4</v>
      </c>
      <c r="C1731" s="8" t="s">
        <v>7028</v>
      </c>
      <c r="D1731" s="9" t="s">
        <v>7025</v>
      </c>
      <c r="E1731" s="10" t="str">
        <f>HYPERLINK("https://twitter.com/CapitnCavernco4/status/1065003818788823041","1065003818788823041")</f>
        <v>1065003818788823041</v>
      </c>
      <c r="F1731" s="11" t="s">
        <v>4215</v>
      </c>
      <c r="G1731" s="12"/>
      <c r="H1731" s="12"/>
      <c r="I1731" s="13">
        <v>0</v>
      </c>
      <c r="J1731" s="13">
        <v>1</v>
      </c>
      <c r="K1731" s="14" t="str">
        <f t="shared" si="372"/>
        <v>Hootsuite Inc.</v>
      </c>
      <c r="L1731" s="13">
        <v>40</v>
      </c>
      <c r="M1731" s="13">
        <v>102</v>
      </c>
      <c r="N1731" s="13">
        <v>0</v>
      </c>
      <c r="O1731" s="15"/>
      <c r="P1731" s="6">
        <v>43393.77579861111</v>
      </c>
      <c r="Q1731" s="12"/>
      <c r="R1731" s="17" t="s">
        <v>7029</v>
      </c>
      <c r="S1731" s="12"/>
      <c r="T1731" s="12"/>
      <c r="U1731" s="10" t="str">
        <f>HYPERLINK("https://pbs.twimg.com/profile_images/1053687315644772353/-6ecO6AS.jpg","View")</f>
        <v>View</v>
      </c>
    </row>
    <row r="1732" spans="1:21" ht="51">
      <c r="A1732" s="6">
        <v>43424.963622685187</v>
      </c>
      <c r="B1732" s="7" t="str">
        <f>HYPERLINK("https://twitter.com/republicano_86","@republicano_86")</f>
        <v>@republicano_86</v>
      </c>
      <c r="C1732" s="8" t="s">
        <v>7030</v>
      </c>
      <c r="D1732" s="9" t="s">
        <v>7031</v>
      </c>
      <c r="E1732" s="10" t="str">
        <f>HYPERLINK("https://twitter.com/republicano_86/status/1065003758114037760","1065003758114037760")</f>
        <v>1065003758114037760</v>
      </c>
      <c r="F1732" s="11" t="s">
        <v>7032</v>
      </c>
      <c r="G1732" s="12"/>
      <c r="H1732" s="12"/>
      <c r="I1732" s="13">
        <v>0</v>
      </c>
      <c r="J1732" s="13">
        <v>0</v>
      </c>
      <c r="K1732" s="14" t="str">
        <f t="shared" ref="K1732:K1735" si="373">HYPERLINK("http://twitter.com/download/android","Twitter for Android")</f>
        <v>Twitter for Android</v>
      </c>
      <c r="L1732" s="13">
        <v>1246</v>
      </c>
      <c r="M1732" s="13">
        <v>3306</v>
      </c>
      <c r="N1732" s="13">
        <v>30</v>
      </c>
      <c r="O1732" s="15"/>
      <c r="P1732" s="6">
        <v>40961.472939814819</v>
      </c>
      <c r="Q1732" s="16" t="s">
        <v>7033</v>
      </c>
      <c r="R1732" s="17" t="s">
        <v>7034</v>
      </c>
      <c r="S1732" s="11" t="s">
        <v>7035</v>
      </c>
      <c r="T1732" s="12"/>
      <c r="U1732" s="10" t="str">
        <f>HYPERLINK("https://pbs.twimg.com/profile_images/1024083039884857345/eJZeGo_v.jpg","View")</f>
        <v>View</v>
      </c>
    </row>
    <row r="1733" spans="1:21" ht="51">
      <c r="A1733" s="6">
        <v>43424.963576388887</v>
      </c>
      <c r="B1733" s="7" t="str">
        <f>HYPERLINK("https://twitter.com/Guagagu","@Guagagu")</f>
        <v>@Guagagu</v>
      </c>
      <c r="C1733" s="8" t="s">
        <v>7036</v>
      </c>
      <c r="D1733" s="9" t="s">
        <v>7037</v>
      </c>
      <c r="E1733" s="10" t="str">
        <f>HYPERLINK("https://twitter.com/Guagagu/status/1065003740959256580","1065003740959256580")</f>
        <v>1065003740959256580</v>
      </c>
      <c r="F1733" s="11" t="s">
        <v>7038</v>
      </c>
      <c r="G1733" s="12"/>
      <c r="H1733" s="12"/>
      <c r="I1733" s="13">
        <v>0</v>
      </c>
      <c r="J1733" s="13">
        <v>0</v>
      </c>
      <c r="K1733" s="14" t="str">
        <f t="shared" si="373"/>
        <v>Twitter for Android</v>
      </c>
      <c r="L1733" s="13">
        <v>33</v>
      </c>
      <c r="M1733" s="13">
        <v>134</v>
      </c>
      <c r="N1733" s="13">
        <v>0</v>
      </c>
      <c r="O1733" s="15"/>
      <c r="P1733" s="6">
        <v>40734.605590277773</v>
      </c>
      <c r="Q1733" s="16" t="s">
        <v>496</v>
      </c>
      <c r="R1733" s="19"/>
      <c r="S1733" s="12"/>
      <c r="T1733" s="12"/>
      <c r="U1733" s="18" t="s">
        <v>559</v>
      </c>
    </row>
    <row r="1734" spans="1:21" ht="20.399999999999999">
      <c r="A1734" s="6">
        <v>43424.963263888887</v>
      </c>
      <c r="B1734" s="7" t="str">
        <f>HYPERLINK("https://twitter.com/manolinelreal","@manolinelreal")</f>
        <v>@manolinelreal</v>
      </c>
      <c r="C1734" s="8" t="s">
        <v>1666</v>
      </c>
      <c r="D1734" s="9" t="s">
        <v>4246</v>
      </c>
      <c r="E1734" s="10" t="str">
        <f>HYPERLINK("https://twitter.com/manolinelreal/status/1065003629298491393","1065003629298491393")</f>
        <v>1065003629298491393</v>
      </c>
      <c r="F1734" s="11" t="s">
        <v>4247</v>
      </c>
      <c r="G1734" s="12"/>
      <c r="H1734" s="12"/>
      <c r="I1734" s="13">
        <v>0</v>
      </c>
      <c r="J1734" s="13">
        <v>0</v>
      </c>
      <c r="K1734" s="14" t="str">
        <f t="shared" si="373"/>
        <v>Twitter for Android</v>
      </c>
      <c r="L1734" s="13">
        <v>2409</v>
      </c>
      <c r="M1734" s="13">
        <v>2339</v>
      </c>
      <c r="N1734" s="13">
        <v>22</v>
      </c>
      <c r="O1734" s="15"/>
      <c r="P1734" s="6">
        <v>41276.882627314815</v>
      </c>
      <c r="Q1734" s="12"/>
      <c r="R1734" s="17" t="s">
        <v>1857</v>
      </c>
      <c r="S1734" s="12"/>
      <c r="T1734" s="12"/>
      <c r="U1734" s="10" t="str">
        <f>HYPERLINK("https://pbs.twimg.com/profile_images/1060287423475867649/Ko1nWlY_.jpg","View")</f>
        <v>View</v>
      </c>
    </row>
    <row r="1735" spans="1:21" ht="40.799999999999997">
      <c r="A1735" s="6">
        <v>43424.96256944444</v>
      </c>
      <c r="B1735" s="7" t="str">
        <f>HYPERLINK("https://twitter.com/Carles1181","@Carles1181")</f>
        <v>@Carles1181</v>
      </c>
      <c r="C1735" s="8" t="s">
        <v>1952</v>
      </c>
      <c r="D1735" s="9" t="s">
        <v>4250</v>
      </c>
      <c r="E1735" s="10" t="str">
        <f>HYPERLINK("https://twitter.com/Carles1181/status/1065003378319810560","1065003378319810560")</f>
        <v>1065003378319810560</v>
      </c>
      <c r="F1735" s="16" t="s">
        <v>3675</v>
      </c>
      <c r="G1735" s="12"/>
      <c r="H1735" s="12"/>
      <c r="I1735" s="13">
        <v>1</v>
      </c>
      <c r="J1735" s="13">
        <v>1</v>
      </c>
      <c r="K1735" s="14" t="str">
        <f t="shared" si="373"/>
        <v>Twitter for Android</v>
      </c>
      <c r="L1735" s="13">
        <v>27</v>
      </c>
      <c r="M1735" s="13">
        <v>134</v>
      </c>
      <c r="N1735" s="13">
        <v>1</v>
      </c>
      <c r="O1735" s="15"/>
      <c r="P1735" s="6">
        <v>40184.95175925926</v>
      </c>
      <c r="Q1735" s="16" t="s">
        <v>4252</v>
      </c>
      <c r="R1735" s="19"/>
      <c r="S1735" s="12"/>
      <c r="T1735" s="12"/>
      <c r="U1735" s="10" t="str">
        <f>HYPERLINK("https://pbs.twimg.com/profile_images/928329598768738304/_MRWNoKk.jpg","View")</f>
        <v>View</v>
      </c>
    </row>
    <row r="1736" spans="1:21" ht="40.799999999999997">
      <c r="A1736" s="6">
        <v>43424.961828703701</v>
      </c>
      <c r="B1736" s="7" t="str">
        <f>HYPERLINK("https://twitter.com/La_Cerca","@La_Cerca")</f>
        <v>@La_Cerca</v>
      </c>
      <c r="C1736" s="8" t="s">
        <v>167</v>
      </c>
      <c r="D1736" s="9" t="s">
        <v>4253</v>
      </c>
      <c r="E1736" s="10" t="str">
        <f>HYPERLINK("https://twitter.com/La_Cerca/status/1065003109112561665","1065003109112561665")</f>
        <v>1065003109112561665</v>
      </c>
      <c r="F1736" s="11" t="s">
        <v>4254</v>
      </c>
      <c r="G1736" s="12"/>
      <c r="H1736" s="12"/>
      <c r="I1736" s="13">
        <v>0</v>
      </c>
      <c r="J1736" s="13">
        <v>0</v>
      </c>
      <c r="K1736" s="14" t="str">
        <f>HYPERLINK("http://www.lacerca.com","La Cerca")</f>
        <v>La Cerca</v>
      </c>
      <c r="L1736" s="13">
        <v>18963</v>
      </c>
      <c r="M1736" s="13">
        <v>4967</v>
      </c>
      <c r="N1736" s="13">
        <v>336</v>
      </c>
      <c r="O1736" s="18" t="s">
        <v>36</v>
      </c>
      <c r="P1736" s="6">
        <v>40007.429652777777</v>
      </c>
      <c r="Q1736" s="16" t="s">
        <v>171</v>
      </c>
      <c r="R1736" s="17" t="s">
        <v>172</v>
      </c>
      <c r="S1736" s="11" t="s">
        <v>173</v>
      </c>
      <c r="T1736" s="12"/>
      <c r="U1736" s="10" t="str">
        <f>HYPERLINK("https://pbs.twimg.com/profile_images/1046758213843111937/MFsiNfy0.jpg","View")</f>
        <v>View</v>
      </c>
    </row>
    <row r="1737" spans="1:21" ht="40.799999999999997">
      <c r="A1737" s="6">
        <v>43424.961388888885</v>
      </c>
      <c r="B1737" s="7" t="str">
        <f>HYPERLINK("https://twitter.com/7_ZeRoIo","@7_ZeRoIo")</f>
        <v>@7_ZeRoIo</v>
      </c>
      <c r="C1737" s="8" t="s">
        <v>5831</v>
      </c>
      <c r="D1737" s="9" t="s">
        <v>7039</v>
      </c>
      <c r="E1737" s="10" t="str">
        <f>HYPERLINK("https://twitter.com/7_ZeRoIo/status/1065002947770228736","1065002947770228736")</f>
        <v>1065002947770228736</v>
      </c>
      <c r="F1737" s="12"/>
      <c r="G1737" s="11" t="s">
        <v>7040</v>
      </c>
      <c r="H1737" s="12"/>
      <c r="I1737" s="13">
        <v>2</v>
      </c>
      <c r="J1737" s="13">
        <v>2</v>
      </c>
      <c r="K1737" s="14" t="str">
        <f t="shared" ref="K1737:K1738" si="374">HYPERLINK("http://twitter.com/download/android","Twitter for Android")</f>
        <v>Twitter for Android</v>
      </c>
      <c r="L1737" s="13">
        <v>2965</v>
      </c>
      <c r="M1737" s="13">
        <v>3738</v>
      </c>
      <c r="N1737" s="13">
        <v>2</v>
      </c>
      <c r="O1737" s="15"/>
      <c r="P1737" s="6">
        <v>42329.796481481477</v>
      </c>
      <c r="Q1737" s="16" t="s">
        <v>727</v>
      </c>
      <c r="R1737" s="17" t="s">
        <v>5836</v>
      </c>
      <c r="S1737" s="12"/>
      <c r="T1737" s="12"/>
      <c r="U1737" s="10" t="str">
        <f>HYPERLINK("https://pbs.twimg.com/profile_images/1057754774085476352/Zcy5ihHq.jpg","View")</f>
        <v>View</v>
      </c>
    </row>
    <row r="1738" spans="1:21" ht="20.399999999999999">
      <c r="A1738" s="6">
        <v>43424.9606712963</v>
      </c>
      <c r="B1738" s="7" t="str">
        <f>HYPERLINK("https://twitter.com/Alidialamo","@Alidialamo")</f>
        <v>@Alidialamo</v>
      </c>
      <c r="C1738" s="8" t="s">
        <v>4259</v>
      </c>
      <c r="D1738" s="9" t="s">
        <v>4260</v>
      </c>
      <c r="E1738" s="10" t="str">
        <f>HYPERLINK("https://twitter.com/Alidialamo/status/1065002689782865920","1065002689782865920")</f>
        <v>1065002689782865920</v>
      </c>
      <c r="F1738" s="12"/>
      <c r="G1738" s="11" t="s">
        <v>4263</v>
      </c>
      <c r="H1738" s="12"/>
      <c r="I1738" s="13">
        <v>0</v>
      </c>
      <c r="J1738" s="13">
        <v>0</v>
      </c>
      <c r="K1738" s="14" t="str">
        <f t="shared" si="374"/>
        <v>Twitter for Android</v>
      </c>
      <c r="L1738" s="13">
        <v>298</v>
      </c>
      <c r="M1738" s="13">
        <v>352</v>
      </c>
      <c r="N1738" s="13">
        <v>4</v>
      </c>
      <c r="O1738" s="15"/>
      <c r="P1738" s="6">
        <v>41908.552916666667</v>
      </c>
      <c r="Q1738" s="16" t="s">
        <v>4264</v>
      </c>
      <c r="R1738" s="17" t="s">
        <v>4265</v>
      </c>
      <c r="S1738" s="11" t="s">
        <v>4266</v>
      </c>
      <c r="T1738" s="12"/>
      <c r="U1738" s="10" t="str">
        <f>HYPERLINK("https://pbs.twimg.com/profile_images/943834346284253184/KzeuTltt.jpg","View")</f>
        <v>View</v>
      </c>
    </row>
    <row r="1739" spans="1:21" ht="51">
      <c r="A1739" s="6">
        <v>43424.959722222222</v>
      </c>
      <c r="B1739" s="7" t="str">
        <f t="shared" ref="B1739:B1740" si="375">HYPERLINK("https://twitter.com/bitMomentum","@bitMomentum")</f>
        <v>@bitMomentum</v>
      </c>
      <c r="C1739" s="8" t="s">
        <v>706</v>
      </c>
      <c r="D1739" s="9" t="s">
        <v>4269</v>
      </c>
      <c r="E1739" s="10" t="str">
        <f>HYPERLINK("https://twitter.com/bitMomentum/status/1065002343748591617","1065002343748591617")</f>
        <v>1065002343748591617</v>
      </c>
      <c r="F1739" s="12"/>
      <c r="G1739" s="12"/>
      <c r="H1739" s="12"/>
      <c r="I1739" s="13">
        <v>0</v>
      </c>
      <c r="J1739" s="13">
        <v>0</v>
      </c>
      <c r="K1739" s="14" t="str">
        <f t="shared" ref="K1739:K1740" si="376">HYPERLINK("http://www.bitmomentum.com","bitMomentum Bot")</f>
        <v>bitMomentum Bot</v>
      </c>
      <c r="L1739" s="13">
        <v>10132</v>
      </c>
      <c r="M1739" s="13">
        <v>1060</v>
      </c>
      <c r="N1739" s="13">
        <v>262</v>
      </c>
      <c r="O1739" s="15"/>
      <c r="P1739" s="6">
        <v>41608.667511574073</v>
      </c>
      <c r="Q1739" s="12"/>
      <c r="R1739" s="17" t="s">
        <v>708</v>
      </c>
      <c r="S1739" s="11" t="s">
        <v>709</v>
      </c>
      <c r="T1739" s="12"/>
      <c r="U1739" s="10" t="str">
        <f t="shared" ref="U1739:U1740" si="377">HYPERLINK("https://pbs.twimg.com/profile_images/378800000862185241/20ij2H3u.png","View")</f>
        <v>View</v>
      </c>
    </row>
    <row r="1740" spans="1:21" ht="51">
      <c r="A1740" s="6">
        <v>43424.959027777775</v>
      </c>
      <c r="B1740" s="7" t="str">
        <f t="shared" si="375"/>
        <v>@bitMomentum</v>
      </c>
      <c r="C1740" s="8" t="s">
        <v>706</v>
      </c>
      <c r="D1740" s="9" t="s">
        <v>4271</v>
      </c>
      <c r="E1740" s="10" t="str">
        <f>HYPERLINK("https://twitter.com/bitMomentum/status/1065002091750572032","1065002091750572032")</f>
        <v>1065002091750572032</v>
      </c>
      <c r="F1740" s="12"/>
      <c r="G1740" s="12"/>
      <c r="H1740" s="12"/>
      <c r="I1740" s="13">
        <v>0</v>
      </c>
      <c r="J1740" s="13">
        <v>0</v>
      </c>
      <c r="K1740" s="14" t="str">
        <f t="shared" si="376"/>
        <v>bitMomentum Bot</v>
      </c>
      <c r="L1740" s="13">
        <v>10132</v>
      </c>
      <c r="M1740" s="13">
        <v>1060</v>
      </c>
      <c r="N1740" s="13">
        <v>262</v>
      </c>
      <c r="O1740" s="15"/>
      <c r="P1740" s="6">
        <v>41608.667511574073</v>
      </c>
      <c r="Q1740" s="12"/>
      <c r="R1740" s="17" t="s">
        <v>708</v>
      </c>
      <c r="S1740" s="11" t="s">
        <v>709</v>
      </c>
      <c r="T1740" s="12"/>
      <c r="U1740" s="10" t="str">
        <f t="shared" si="377"/>
        <v>View</v>
      </c>
    </row>
    <row r="1741" spans="1:21" ht="71.400000000000006">
      <c r="A1741" s="6">
        <v>43424.958750000005</v>
      </c>
      <c r="B1741" s="7" t="str">
        <f>HYPERLINK("https://twitter.com/jjSANCHOg","@jjSANCHOg")</f>
        <v>@jjSANCHOg</v>
      </c>
      <c r="C1741" s="8" t="s">
        <v>4274</v>
      </c>
      <c r="D1741" s="9" t="s">
        <v>4275</v>
      </c>
      <c r="E1741" s="10" t="str">
        <f>HYPERLINK("https://twitter.com/jjSANCHOg/status/1065001991733215232","1065001991733215232")</f>
        <v>1065001991733215232</v>
      </c>
      <c r="F1741" s="11" t="s">
        <v>4005</v>
      </c>
      <c r="G1741" s="11" t="s">
        <v>4006</v>
      </c>
      <c r="H1741" s="12"/>
      <c r="I1741" s="13">
        <v>0</v>
      </c>
      <c r="J1741" s="13">
        <v>0</v>
      </c>
      <c r="K1741" s="14" t="str">
        <f t="shared" ref="K1741:K1743" si="378">HYPERLINK("http://twitter.com/download/android","Twitter for Android")</f>
        <v>Twitter for Android</v>
      </c>
      <c r="L1741" s="13">
        <v>1002</v>
      </c>
      <c r="M1741" s="13">
        <v>728</v>
      </c>
      <c r="N1741" s="13">
        <v>27</v>
      </c>
      <c r="O1741" s="15"/>
      <c r="P1741" s="6">
        <v>40651.035312499997</v>
      </c>
      <c r="Q1741" s="16" t="s">
        <v>4279</v>
      </c>
      <c r="R1741" s="17" t="s">
        <v>4280</v>
      </c>
      <c r="S1741" s="11" t="s">
        <v>4281</v>
      </c>
      <c r="T1741" s="12"/>
      <c r="U1741" s="10" t="str">
        <f>HYPERLINK("https://pbs.twimg.com/profile_images/1045991045341880320/nkWda_HZ.jpg","View")</f>
        <v>View</v>
      </c>
    </row>
    <row r="1742" spans="1:21" ht="102">
      <c r="A1742" s="6">
        <v>43424.951481481483</v>
      </c>
      <c r="B1742" s="7" t="str">
        <f>HYPERLINK("https://twitter.com/RanaTabarnia","@RanaTabarnia")</f>
        <v>@RanaTabarnia</v>
      </c>
      <c r="C1742" s="8" t="s">
        <v>7041</v>
      </c>
      <c r="D1742" s="9" t="s">
        <v>7042</v>
      </c>
      <c r="E1742" s="10" t="str">
        <f>HYPERLINK("https://twitter.com/RanaTabarnia/status/1064999358163288066","1064999358163288066")</f>
        <v>1064999358163288066</v>
      </c>
      <c r="F1742" s="11" t="s">
        <v>3542</v>
      </c>
      <c r="G1742" s="11" t="s">
        <v>3544</v>
      </c>
      <c r="H1742" s="12"/>
      <c r="I1742" s="13">
        <v>0</v>
      </c>
      <c r="J1742" s="13">
        <v>1</v>
      </c>
      <c r="K1742" s="14" t="str">
        <f t="shared" si="378"/>
        <v>Twitter for Android</v>
      </c>
      <c r="L1742" s="13">
        <v>139</v>
      </c>
      <c r="M1742" s="13">
        <v>113</v>
      </c>
      <c r="N1742" s="13">
        <v>0</v>
      </c>
      <c r="O1742" s="15"/>
      <c r="P1742" s="6">
        <v>43286.761712962965</v>
      </c>
      <c r="Q1742" s="12"/>
      <c r="R1742" s="19"/>
      <c r="S1742" s="12"/>
      <c r="T1742" s="12"/>
      <c r="U1742" s="10" t="str">
        <f>HYPERLINK("https://pbs.twimg.com/profile_images/1021799925858922497/y6n6WhI-.jpg","View")</f>
        <v>View</v>
      </c>
    </row>
    <row r="1743" spans="1:21" ht="30.6">
      <c r="A1743" s="6">
        <v>43424.950289351851</v>
      </c>
      <c r="B1743" s="7" t="str">
        <f>HYPERLINK("https://twitter.com/Rixartvs","@Rixartvs")</f>
        <v>@Rixartvs</v>
      </c>
      <c r="C1743" s="8" t="s">
        <v>7043</v>
      </c>
      <c r="D1743" s="9" t="s">
        <v>7044</v>
      </c>
      <c r="E1743" s="10" t="str">
        <f>HYPERLINK("https://twitter.com/Rixartvs/status/1064998928129695750","1064998928129695750")</f>
        <v>1064998928129695750</v>
      </c>
      <c r="F1743" s="12"/>
      <c r="G1743" s="12"/>
      <c r="H1743" s="12"/>
      <c r="I1743" s="13">
        <v>0</v>
      </c>
      <c r="J1743" s="13">
        <v>2</v>
      </c>
      <c r="K1743" s="14" t="str">
        <f t="shared" si="378"/>
        <v>Twitter for Android</v>
      </c>
      <c r="L1743" s="13">
        <v>2883</v>
      </c>
      <c r="M1743" s="13">
        <v>2823</v>
      </c>
      <c r="N1743" s="13">
        <v>25</v>
      </c>
      <c r="O1743" s="15"/>
      <c r="P1743" s="6">
        <v>41015.841956018521</v>
      </c>
      <c r="Q1743" s="16" t="s">
        <v>7045</v>
      </c>
      <c r="R1743" s="19"/>
      <c r="S1743" s="12"/>
      <c r="T1743" s="12"/>
      <c r="U1743" s="10" t="str">
        <f>HYPERLINK("https://pbs.twimg.com/profile_images/1034386981109858305/hTr3K8Uq.jpg","View")</f>
        <v>View</v>
      </c>
    </row>
    <row r="1744" spans="1:21" ht="20.399999999999999">
      <c r="A1744" s="6">
        <v>43424.949664351851</v>
      </c>
      <c r="B1744" s="7" t="str">
        <f>HYPERLINK("https://twitter.com/VaroufakisSuper","@VaroufakisSuper")</f>
        <v>@VaroufakisSuper</v>
      </c>
      <c r="C1744" s="8" t="s">
        <v>7046</v>
      </c>
      <c r="D1744" s="9" t="s">
        <v>7047</v>
      </c>
      <c r="E1744" s="10" t="str">
        <f>HYPERLINK("https://twitter.com/VaroufakisSuper/status/1064998698831220742","1064998698831220742")</f>
        <v>1064998698831220742</v>
      </c>
      <c r="F1744" s="12"/>
      <c r="G1744" s="12"/>
      <c r="H1744" s="12"/>
      <c r="I1744" s="13">
        <v>2</v>
      </c>
      <c r="J1744" s="13">
        <v>4</v>
      </c>
      <c r="K1744" s="14" t="str">
        <f>HYPERLINK("http://twitter.com/download/iphone","Twitter for iPhone")</f>
        <v>Twitter for iPhone</v>
      </c>
      <c r="L1744" s="13">
        <v>663</v>
      </c>
      <c r="M1744" s="13">
        <v>109</v>
      </c>
      <c r="N1744" s="13">
        <v>6</v>
      </c>
      <c r="O1744" s="15"/>
      <c r="P1744" s="6">
        <v>42194.481006944443</v>
      </c>
      <c r="Q1744" s="12"/>
      <c r="R1744" s="17" t="s">
        <v>7048</v>
      </c>
      <c r="S1744" s="12"/>
      <c r="T1744" s="12"/>
      <c r="U1744" s="10" t="str">
        <f>HYPERLINK("https://pbs.twimg.com/profile_images/914438865162731521/IFXzTPbb.jpg","View")</f>
        <v>View</v>
      </c>
    </row>
    <row r="1745" spans="1:21" ht="40.799999999999997">
      <c r="A1745" s="6">
        <v>43424.949421296296</v>
      </c>
      <c r="B1745" s="7" t="str">
        <f>HYPERLINK("https://twitter.com/Cs_Macarena","@Cs_Macarena")</f>
        <v>@Cs_Macarena</v>
      </c>
      <c r="C1745" s="8" t="s">
        <v>6428</v>
      </c>
      <c r="D1745" s="9" t="s">
        <v>7049</v>
      </c>
      <c r="E1745" s="10" t="str">
        <f>HYPERLINK("https://twitter.com/Cs_Macarena/status/1064998611912744961","1064998611912744961")</f>
        <v>1064998611912744961</v>
      </c>
      <c r="F1745" s="11" t="s">
        <v>4215</v>
      </c>
      <c r="G1745" s="12"/>
      <c r="H1745" s="12"/>
      <c r="I1745" s="13">
        <v>4</v>
      </c>
      <c r="J1745" s="13">
        <v>5</v>
      </c>
      <c r="K1745" s="14" t="str">
        <f>HYPERLINK("http://twitter.com/download/android","Twitter for Android")</f>
        <v>Twitter for Android</v>
      </c>
      <c r="L1745" s="13">
        <v>803</v>
      </c>
      <c r="M1745" s="13">
        <v>591</v>
      </c>
      <c r="N1745" s="13">
        <v>14</v>
      </c>
      <c r="O1745" s="15"/>
      <c r="P1745" s="6">
        <v>42051.852037037039</v>
      </c>
      <c r="Q1745" s="16" t="s">
        <v>6431</v>
      </c>
      <c r="R1745" s="17" t="s">
        <v>6432</v>
      </c>
      <c r="S1745" s="11" t="s">
        <v>6433</v>
      </c>
      <c r="T1745" s="12"/>
      <c r="U1745" s="10" t="str">
        <f>HYPERLINK("https://pbs.twimg.com/profile_images/831117602680356864/g0aANzr0.jpg","View")</f>
        <v>View</v>
      </c>
    </row>
    <row r="1746" spans="1:21" ht="30.6">
      <c r="A1746" s="6">
        <v>43424.948217592595</v>
      </c>
      <c r="B1746" s="7" t="str">
        <f>HYPERLINK("https://twitter.com/ElHuffPost","@ElHuffPost")</f>
        <v>@ElHuffPost</v>
      </c>
      <c r="C1746" s="8" t="s">
        <v>6203</v>
      </c>
      <c r="D1746" s="9" t="s">
        <v>6204</v>
      </c>
      <c r="E1746" s="10" t="str">
        <f>HYPERLINK("https://twitter.com/ElHuffPost/status/1064998177009487874","1064998177009487874")</f>
        <v>1064998177009487874</v>
      </c>
      <c r="F1746" s="11" t="s">
        <v>1709</v>
      </c>
      <c r="G1746" s="12"/>
      <c r="H1746" s="12"/>
      <c r="I1746" s="13">
        <v>0</v>
      </c>
      <c r="J1746" s="13">
        <v>0</v>
      </c>
      <c r="K1746" s="14" t="str">
        <f>HYPERLINK("https://about.twitter.com/products/tweetdeck","TweetDeck")</f>
        <v>TweetDeck</v>
      </c>
      <c r="L1746" s="13">
        <v>430324</v>
      </c>
      <c r="M1746" s="13">
        <v>1532</v>
      </c>
      <c r="N1746" s="13">
        <v>8188</v>
      </c>
      <c r="O1746" s="18" t="s">
        <v>36</v>
      </c>
      <c r="P1746" s="6">
        <v>40785.027118055557</v>
      </c>
      <c r="Q1746" s="16" t="s">
        <v>440</v>
      </c>
      <c r="R1746" s="17" t="s">
        <v>6205</v>
      </c>
      <c r="S1746" s="11" t="s">
        <v>6206</v>
      </c>
      <c r="T1746" s="12"/>
      <c r="U1746" s="10" t="str">
        <f>HYPERLINK("https://pbs.twimg.com/profile_images/921140803422089217/ETOEUOAx.jpg","View")</f>
        <v>View</v>
      </c>
    </row>
    <row r="1747" spans="1:21" ht="30.6">
      <c r="A1747" s="6">
        <v>43424.94798611111</v>
      </c>
      <c r="B1747" s="7" t="str">
        <f>HYPERLINK("https://twitter.com/Cs_Macarena","@Cs_Macarena")</f>
        <v>@Cs_Macarena</v>
      </c>
      <c r="C1747" s="8" t="s">
        <v>6428</v>
      </c>
      <c r="D1747" s="9" t="s">
        <v>7050</v>
      </c>
      <c r="E1747" s="10" t="str">
        <f>HYPERLINK("https://twitter.com/Cs_Macarena/status/1064998093811343360","1064998093811343360")</f>
        <v>1064998093811343360</v>
      </c>
      <c r="F1747" s="11" t="s">
        <v>4218</v>
      </c>
      <c r="G1747" s="12"/>
      <c r="H1747" s="12"/>
      <c r="I1747" s="13">
        <v>3</v>
      </c>
      <c r="J1747" s="13">
        <v>5</v>
      </c>
      <c r="K1747" s="14" t="str">
        <f t="shared" ref="K1747:K1752" si="379">HYPERLINK("http://twitter.com/download/android","Twitter for Android")</f>
        <v>Twitter for Android</v>
      </c>
      <c r="L1747" s="13">
        <v>803</v>
      </c>
      <c r="M1747" s="13">
        <v>591</v>
      </c>
      <c r="N1747" s="13">
        <v>14</v>
      </c>
      <c r="O1747" s="15"/>
      <c r="P1747" s="6">
        <v>42051.852037037039</v>
      </c>
      <c r="Q1747" s="16" t="s">
        <v>6431</v>
      </c>
      <c r="R1747" s="17" t="s">
        <v>6432</v>
      </c>
      <c r="S1747" s="11" t="s">
        <v>6433</v>
      </c>
      <c r="T1747" s="12"/>
      <c r="U1747" s="10" t="str">
        <f>HYPERLINK("https://pbs.twimg.com/profile_images/831117602680356864/g0aANzr0.jpg","View")</f>
        <v>View</v>
      </c>
    </row>
    <row r="1748" spans="1:21" ht="51">
      <c r="A1748" s="6">
        <v>43424.947453703702</v>
      </c>
      <c r="B1748" s="7" t="str">
        <f>HYPERLINK("https://twitter.com/Psilocybe_Marx","@Psilocybe_Marx")</f>
        <v>@Psilocybe_Marx</v>
      </c>
      <c r="C1748" s="8" t="s">
        <v>7051</v>
      </c>
      <c r="D1748" s="9" t="s">
        <v>7052</v>
      </c>
      <c r="E1748" s="10" t="str">
        <f>HYPERLINK("https://twitter.com/Psilocybe_Marx/status/1064997900621684739","1064997900621684739")</f>
        <v>1064997900621684739</v>
      </c>
      <c r="F1748" s="12"/>
      <c r="G1748" s="11" t="s">
        <v>7053</v>
      </c>
      <c r="H1748" s="12"/>
      <c r="I1748" s="13">
        <v>1</v>
      </c>
      <c r="J1748" s="13">
        <v>1</v>
      </c>
      <c r="K1748" s="14" t="str">
        <f t="shared" si="379"/>
        <v>Twitter for Android</v>
      </c>
      <c r="L1748" s="13">
        <v>711</v>
      </c>
      <c r="M1748" s="13">
        <v>1418</v>
      </c>
      <c r="N1748" s="13">
        <v>13</v>
      </c>
      <c r="O1748" s="15"/>
      <c r="P1748" s="6">
        <v>40430.117731481485</v>
      </c>
      <c r="Q1748" s="12"/>
      <c r="R1748" s="17" t="s">
        <v>7054</v>
      </c>
      <c r="S1748" s="12"/>
      <c r="T1748" s="12"/>
      <c r="U1748" s="10" t="str">
        <f>HYPERLINK("https://pbs.twimg.com/profile_images/990003096502796288/QB43kPBr.jpg","View")</f>
        <v>View</v>
      </c>
    </row>
    <row r="1749" spans="1:21" ht="40.799999999999997">
      <c r="A1749" s="6">
        <v>43424.946192129632</v>
      </c>
      <c r="B1749" s="7" t="str">
        <f>HYPERLINK("https://twitter.com/Cs_Macarena","@Cs_Macarena")</f>
        <v>@Cs_Macarena</v>
      </c>
      <c r="C1749" s="8" t="s">
        <v>6428</v>
      </c>
      <c r="D1749" s="9" t="s">
        <v>7055</v>
      </c>
      <c r="E1749" s="10" t="str">
        <f>HYPERLINK("https://twitter.com/Cs_Macarena/status/1064997442976956420","1064997442976956420")</f>
        <v>1064997442976956420</v>
      </c>
      <c r="F1749" s="11" t="s">
        <v>4465</v>
      </c>
      <c r="G1749" s="12"/>
      <c r="H1749" s="12"/>
      <c r="I1749" s="13">
        <v>1</v>
      </c>
      <c r="J1749" s="13">
        <v>2</v>
      </c>
      <c r="K1749" s="14" t="str">
        <f t="shared" si="379"/>
        <v>Twitter for Android</v>
      </c>
      <c r="L1749" s="13">
        <v>803</v>
      </c>
      <c r="M1749" s="13">
        <v>591</v>
      </c>
      <c r="N1749" s="13">
        <v>14</v>
      </c>
      <c r="O1749" s="15"/>
      <c r="P1749" s="6">
        <v>42051.852037037039</v>
      </c>
      <c r="Q1749" s="16" t="s">
        <v>6431</v>
      </c>
      <c r="R1749" s="17" t="s">
        <v>6432</v>
      </c>
      <c r="S1749" s="11" t="s">
        <v>6433</v>
      </c>
      <c r="T1749" s="12"/>
      <c r="U1749" s="10" t="str">
        <f>HYPERLINK("https://pbs.twimg.com/profile_images/831117602680356864/g0aANzr0.jpg","View")</f>
        <v>View</v>
      </c>
    </row>
    <row r="1750" spans="1:21" ht="20.399999999999999">
      <c r="A1750" s="6">
        <v>43424.94458333333</v>
      </c>
      <c r="B1750" s="7" t="str">
        <f>HYPERLINK("https://twitter.com/CsRoquetasdeMar","@CsRoquetasdeMar")</f>
        <v>@CsRoquetasdeMar</v>
      </c>
      <c r="C1750" s="8" t="s">
        <v>863</v>
      </c>
      <c r="D1750" s="9" t="s">
        <v>4282</v>
      </c>
      <c r="E1750" s="10" t="str">
        <f>HYPERLINK("https://twitter.com/CsRoquetasdeMar/status/1064996858953691138","1064996858953691138")</f>
        <v>1064996858953691138</v>
      </c>
      <c r="F1750" s="11" t="s">
        <v>3619</v>
      </c>
      <c r="G1750" s="11" t="s">
        <v>4283</v>
      </c>
      <c r="H1750" s="12"/>
      <c r="I1750" s="13">
        <v>8</v>
      </c>
      <c r="J1750" s="13">
        <v>9</v>
      </c>
      <c r="K1750" s="14" t="str">
        <f t="shared" si="379"/>
        <v>Twitter for Android</v>
      </c>
      <c r="L1750" s="13">
        <v>1963</v>
      </c>
      <c r="M1750" s="13">
        <v>866</v>
      </c>
      <c r="N1750" s="13">
        <v>32</v>
      </c>
      <c r="O1750" s="15"/>
      <c r="P1750" s="6">
        <v>41873.018761574072</v>
      </c>
      <c r="Q1750" s="16" t="s">
        <v>866</v>
      </c>
      <c r="R1750" s="17" t="s">
        <v>867</v>
      </c>
      <c r="S1750" s="11" t="s">
        <v>868</v>
      </c>
      <c r="T1750" s="12"/>
      <c r="U1750" s="10" t="str">
        <f>HYPERLINK("https://pbs.twimg.com/profile_images/899375488979927042/0OQvn6JM.jpg","View")</f>
        <v>View</v>
      </c>
    </row>
    <row r="1751" spans="1:21" ht="20.399999999999999">
      <c r="A1751" s="6">
        <v>43424.944178240738</v>
      </c>
      <c r="B1751" s="7" t="str">
        <f>HYPERLINK("https://twitter.com/hopedsy","@hopedsy")</f>
        <v>@hopedsy</v>
      </c>
      <c r="C1751" s="8" t="s">
        <v>7056</v>
      </c>
      <c r="D1751" s="9" t="s">
        <v>7057</v>
      </c>
      <c r="E1751" s="10" t="str">
        <f>HYPERLINK("https://twitter.com/hopedsy/status/1064996711138017282","1064996711138017282")</f>
        <v>1064996711138017282</v>
      </c>
      <c r="F1751" s="11" t="s">
        <v>7058</v>
      </c>
      <c r="G1751" s="12"/>
      <c r="H1751" s="12"/>
      <c r="I1751" s="13">
        <v>0</v>
      </c>
      <c r="J1751" s="13">
        <v>0</v>
      </c>
      <c r="K1751" s="14" t="str">
        <f t="shared" si="379"/>
        <v>Twitter for Android</v>
      </c>
      <c r="L1751" s="13">
        <v>405</v>
      </c>
      <c r="M1751" s="13">
        <v>566</v>
      </c>
      <c r="N1751" s="13">
        <v>15</v>
      </c>
      <c r="O1751" s="15"/>
      <c r="P1751" s="6">
        <v>42568.50172453704</v>
      </c>
      <c r="Q1751" s="12"/>
      <c r="R1751" s="17" t="s">
        <v>7059</v>
      </c>
      <c r="S1751" s="12"/>
      <c r="T1751" s="12"/>
      <c r="U1751" s="10" t="str">
        <f>HYPERLINK("https://pbs.twimg.com/profile_images/814237291229147136/bJPBbvoq.jpg","View")</f>
        <v>View</v>
      </c>
    </row>
    <row r="1752" spans="1:21" ht="30.6">
      <c r="A1752" s="6">
        <v>43424.941620370373</v>
      </c>
      <c r="B1752" s="7" t="str">
        <f>HYPERLINK("https://twitter.com/38mart","@38mart")</f>
        <v>@38mart</v>
      </c>
      <c r="C1752" s="8" t="s">
        <v>7060</v>
      </c>
      <c r="D1752" s="9" t="s">
        <v>6489</v>
      </c>
      <c r="E1752" s="10" t="str">
        <f>HYPERLINK("https://twitter.com/38mart/status/1064995783852871689","1064995783852871689")</f>
        <v>1064995783852871689</v>
      </c>
      <c r="F1752" s="11" t="s">
        <v>6499</v>
      </c>
      <c r="G1752" s="12"/>
      <c r="H1752" s="12"/>
      <c r="I1752" s="13">
        <v>0</v>
      </c>
      <c r="J1752" s="13">
        <v>1</v>
      </c>
      <c r="K1752" s="14" t="str">
        <f t="shared" si="379"/>
        <v>Twitter for Android</v>
      </c>
      <c r="L1752" s="13">
        <v>539</v>
      </c>
      <c r="M1752" s="13">
        <v>343</v>
      </c>
      <c r="N1752" s="13">
        <v>7</v>
      </c>
      <c r="O1752" s="15"/>
      <c r="P1752" s="6">
        <v>41049.973009259258</v>
      </c>
      <c r="Q1752" s="16" t="s">
        <v>584</v>
      </c>
      <c r="R1752" s="17" t="s">
        <v>7061</v>
      </c>
      <c r="S1752" s="12"/>
      <c r="T1752" s="12"/>
      <c r="U1752" s="10" t="str">
        <f>HYPERLINK("https://pbs.twimg.com/profile_images/933670466425966594/7MJMA8tv.jpg","View")</f>
        <v>View</v>
      </c>
    </row>
    <row r="1753" spans="1:21" ht="20.399999999999999">
      <c r="A1753" s="6">
        <v>43424.940578703703</v>
      </c>
      <c r="B1753" s="7" t="str">
        <f>HYPERLINK("https://twitter.com/rafaelbalaguer7","@rafaelbalaguer7")</f>
        <v>@rafaelbalaguer7</v>
      </c>
      <c r="C1753" s="8" t="s">
        <v>6383</v>
      </c>
      <c r="D1753" s="9" t="s">
        <v>6991</v>
      </c>
      <c r="E1753" s="10" t="str">
        <f>HYPERLINK("https://twitter.com/rafaelbalaguer7/status/1064995409398038528","1064995409398038528")</f>
        <v>1064995409398038528</v>
      </c>
      <c r="F1753" s="11" t="s">
        <v>4887</v>
      </c>
      <c r="G1753" s="12"/>
      <c r="H1753" s="12"/>
      <c r="I1753" s="13">
        <v>0</v>
      </c>
      <c r="J1753" s="13">
        <v>0</v>
      </c>
      <c r="K1753" s="14" t="str">
        <f>HYPERLINK("http://twitter.com","Twitter Web Client")</f>
        <v>Twitter Web Client</v>
      </c>
      <c r="L1753" s="13">
        <v>2467</v>
      </c>
      <c r="M1753" s="13">
        <v>2563</v>
      </c>
      <c r="N1753" s="13">
        <v>11</v>
      </c>
      <c r="O1753" s="15"/>
      <c r="P1753" s="6">
        <v>42244.710243055553</v>
      </c>
      <c r="Q1753" s="16" t="s">
        <v>6384</v>
      </c>
      <c r="R1753" s="17" t="s">
        <v>6385</v>
      </c>
      <c r="S1753" s="12"/>
      <c r="T1753" s="12"/>
      <c r="U1753" s="10" t="str">
        <f>HYPERLINK("https://pbs.twimg.com/profile_images/988782521973387264/4ki7Vu-I.jpg","View")</f>
        <v>View</v>
      </c>
    </row>
    <row r="1754" spans="1:21" ht="71.400000000000006">
      <c r="A1754" s="6">
        <v>43424.937800925924</v>
      </c>
      <c r="B1754" s="7" t="str">
        <f>HYPERLINK("https://twitter.com/Alets40","@Alets40")</f>
        <v>@Alets40</v>
      </c>
      <c r="C1754" s="8" t="s">
        <v>4285</v>
      </c>
      <c r="D1754" s="9" t="s">
        <v>4287</v>
      </c>
      <c r="E1754" s="10" t="str">
        <f>HYPERLINK("https://twitter.com/Alets40/status/1064994401510809600","1064994401510809600")</f>
        <v>1064994401510809600</v>
      </c>
      <c r="F1754" s="11" t="s">
        <v>4289</v>
      </c>
      <c r="G1754" s="11" t="s">
        <v>2780</v>
      </c>
      <c r="H1754" s="12"/>
      <c r="I1754" s="13">
        <v>0</v>
      </c>
      <c r="J1754" s="13">
        <v>0</v>
      </c>
      <c r="K1754" s="14" t="str">
        <f>HYPERLINK("http://twitter.com/download/iphone","Twitter for iPhone")</f>
        <v>Twitter for iPhone</v>
      </c>
      <c r="L1754" s="13">
        <v>478</v>
      </c>
      <c r="M1754" s="13">
        <v>576</v>
      </c>
      <c r="N1754" s="13">
        <v>7</v>
      </c>
      <c r="O1754" s="15"/>
      <c r="P1754" s="6">
        <v>40298.30259259259</v>
      </c>
      <c r="Q1754" s="12"/>
      <c r="R1754" s="17" t="s">
        <v>4291</v>
      </c>
      <c r="S1754" s="12"/>
      <c r="T1754" s="12"/>
      <c r="U1754" s="10" t="str">
        <f>HYPERLINK("https://pbs.twimg.com/profile_images/1048340508597055488/Te7Kx5EM.jpg","View")</f>
        <v>View</v>
      </c>
    </row>
    <row r="1755" spans="1:21" ht="61.2">
      <c r="A1755" s="6">
        <v>43424.937569444446</v>
      </c>
      <c r="B1755" s="7" t="str">
        <f>HYPERLINK("https://twitter.com/MioCid_DeLezo","@MioCid_DeLezo")</f>
        <v>@MioCid_DeLezo</v>
      </c>
      <c r="C1755" s="8" t="s">
        <v>4292</v>
      </c>
      <c r="D1755" s="9" t="s">
        <v>4293</v>
      </c>
      <c r="E1755" s="10" t="str">
        <f>HYPERLINK("https://twitter.com/MioCid_DeLezo/status/1064994317050265600","1064994317050265600")</f>
        <v>1064994317050265600</v>
      </c>
      <c r="F1755" s="11" t="s">
        <v>4294</v>
      </c>
      <c r="G1755" s="11" t="s">
        <v>4295</v>
      </c>
      <c r="H1755" s="12"/>
      <c r="I1755" s="13">
        <v>0</v>
      </c>
      <c r="J1755" s="13">
        <v>0</v>
      </c>
      <c r="K1755" s="14" t="str">
        <f>HYPERLINK("http://twitter.com","Twitter Web Client")</f>
        <v>Twitter Web Client</v>
      </c>
      <c r="L1755" s="13">
        <v>87</v>
      </c>
      <c r="M1755" s="13">
        <v>113</v>
      </c>
      <c r="N1755" s="13">
        <v>0</v>
      </c>
      <c r="O1755" s="15"/>
      <c r="P1755" s="6">
        <v>43392.711134259254</v>
      </c>
      <c r="Q1755" s="16" t="s">
        <v>37</v>
      </c>
      <c r="R1755" s="17" t="s">
        <v>4296</v>
      </c>
      <c r="S1755" s="12"/>
      <c r="T1755" s="12"/>
      <c r="U1755" s="10" t="str">
        <f>HYPERLINK("https://pbs.twimg.com/profile_images/1053302446120992769/7MEIupSN.jpg","View")</f>
        <v>View</v>
      </c>
    </row>
    <row r="1756" spans="1:21" ht="51">
      <c r="A1756" s="6">
        <v>43424.936400462961</v>
      </c>
      <c r="B1756" s="7" t="str">
        <f>HYPERLINK("https://twitter.com/cunadometro","@cunadometro")</f>
        <v>@cunadometro</v>
      </c>
      <c r="C1756" s="8" t="s">
        <v>4298</v>
      </c>
      <c r="D1756" s="9" t="s">
        <v>4299</v>
      </c>
      <c r="E1756" s="10" t="str">
        <f>HYPERLINK("https://twitter.com/cunadometro/status/1064993893618458624","1064993893618458624")</f>
        <v>1064993893618458624</v>
      </c>
      <c r="F1756" s="12"/>
      <c r="G1756" s="12"/>
      <c r="H1756" s="12"/>
      <c r="I1756" s="13">
        <v>936</v>
      </c>
      <c r="J1756" s="13">
        <v>1722</v>
      </c>
      <c r="K1756" s="14" t="str">
        <f>HYPERLINK("http://twitter.com/download/android","Twitter for Android")</f>
        <v>Twitter for Android</v>
      </c>
      <c r="L1756" s="13">
        <v>50839</v>
      </c>
      <c r="M1756" s="13">
        <v>25202</v>
      </c>
      <c r="N1756" s="13">
        <v>233</v>
      </c>
      <c r="O1756" s="15"/>
      <c r="P1756" s="6">
        <v>42737.735543981486</v>
      </c>
      <c r="Q1756" s="12"/>
      <c r="R1756" s="17" t="s">
        <v>4303</v>
      </c>
      <c r="S1756" s="11" t="s">
        <v>4305</v>
      </c>
      <c r="T1756" s="12"/>
      <c r="U1756" s="10" t="str">
        <f>HYPERLINK("https://pbs.twimg.com/profile_images/1058335060938633216/jl-q3scY.jpg","View")</f>
        <v>View</v>
      </c>
    </row>
    <row r="1757" spans="1:21" ht="30.6">
      <c r="A1757" s="6">
        <v>43424.935300925921</v>
      </c>
      <c r="B1757" s="7" t="str">
        <f>HYPERLINK("https://twitter.com/ElHuffPost","@ElHuffPost")</f>
        <v>@ElHuffPost</v>
      </c>
      <c r="C1757" s="8" t="s">
        <v>6203</v>
      </c>
      <c r="D1757" s="9" t="s">
        <v>6489</v>
      </c>
      <c r="E1757" s="10" t="str">
        <f>HYPERLINK("https://twitter.com/ElHuffPost/status/1064993496514338816","1064993496514338816")</f>
        <v>1064993496514338816</v>
      </c>
      <c r="F1757" s="11" t="s">
        <v>1709</v>
      </c>
      <c r="G1757" s="12"/>
      <c r="H1757" s="12"/>
      <c r="I1757" s="13">
        <v>3</v>
      </c>
      <c r="J1757" s="13">
        <v>2</v>
      </c>
      <c r="K1757" s="14" t="str">
        <f>HYPERLINK("https://about.twitter.com/products/tweetdeck","TweetDeck")</f>
        <v>TweetDeck</v>
      </c>
      <c r="L1757" s="13">
        <v>430324</v>
      </c>
      <c r="M1757" s="13">
        <v>1532</v>
      </c>
      <c r="N1757" s="13">
        <v>8188</v>
      </c>
      <c r="O1757" s="18" t="s">
        <v>36</v>
      </c>
      <c r="P1757" s="6">
        <v>40785.027118055557</v>
      </c>
      <c r="Q1757" s="16" t="s">
        <v>440</v>
      </c>
      <c r="R1757" s="17" t="s">
        <v>6205</v>
      </c>
      <c r="S1757" s="11" t="s">
        <v>6206</v>
      </c>
      <c r="T1757" s="12"/>
      <c r="U1757" s="10" t="str">
        <f>HYPERLINK("https://pbs.twimg.com/profile_images/921140803422089217/ETOEUOAx.jpg","View")</f>
        <v>View</v>
      </c>
    </row>
    <row r="1758" spans="1:21" ht="71.400000000000006">
      <c r="A1758" s="6">
        <v>43424.933298611111</v>
      </c>
      <c r="B1758" s="7" t="str">
        <f>HYPERLINK("https://twitter.com/joanmiquelm4","@joanmiquelm4")</f>
        <v>@joanmiquelm4</v>
      </c>
      <c r="C1758" s="8" t="s">
        <v>1370</v>
      </c>
      <c r="D1758" s="9" t="s">
        <v>4309</v>
      </c>
      <c r="E1758" s="10" t="str">
        <f>HYPERLINK("https://twitter.com/joanmiquelm4/status/1064992770555699200","1064992770555699200")</f>
        <v>1064992770555699200</v>
      </c>
      <c r="F1758" s="11" t="s">
        <v>4154</v>
      </c>
      <c r="G1758" s="11" t="s">
        <v>4155</v>
      </c>
      <c r="H1758" s="12"/>
      <c r="I1758" s="13">
        <v>0</v>
      </c>
      <c r="J1758" s="13">
        <v>0</v>
      </c>
      <c r="K1758" s="14" t="str">
        <f t="shared" ref="K1758:K1759" si="380">HYPERLINK("http://twitter.com/download/android","Twitter for Android")</f>
        <v>Twitter for Android</v>
      </c>
      <c r="L1758" s="13">
        <v>186</v>
      </c>
      <c r="M1758" s="13">
        <v>250</v>
      </c>
      <c r="N1758" s="13">
        <v>22</v>
      </c>
      <c r="O1758" s="15"/>
      <c r="P1758" s="6">
        <v>41963.710092592592</v>
      </c>
      <c r="Q1758" s="12"/>
      <c r="R1758" s="17" t="s">
        <v>1373</v>
      </c>
      <c r="S1758" s="12"/>
      <c r="T1758" s="12"/>
      <c r="U1758" s="10" t="str">
        <f>HYPERLINK("https://pbs.twimg.com/profile_images/535464079948017666/sd81e-bA.jpeg","View")</f>
        <v>View</v>
      </c>
    </row>
    <row r="1759" spans="1:21" ht="61.2">
      <c r="A1759" s="6">
        <v>43424.933101851857</v>
      </c>
      <c r="B1759" s="7" t="str">
        <f>HYPERLINK("https://twitter.com/delmoralo","@delmoralo")</f>
        <v>@delmoralo</v>
      </c>
      <c r="C1759" s="8" t="s">
        <v>1329</v>
      </c>
      <c r="D1759" s="9" t="s">
        <v>4312</v>
      </c>
      <c r="E1759" s="10" t="str">
        <f>HYPERLINK("https://twitter.com/delmoralo/status/1064992697583366145","1064992697583366145")</f>
        <v>1064992697583366145</v>
      </c>
      <c r="F1759" s="11" t="s">
        <v>4313</v>
      </c>
      <c r="G1759" s="11" t="s">
        <v>4314</v>
      </c>
      <c r="H1759" s="12"/>
      <c r="I1759" s="13">
        <v>3</v>
      </c>
      <c r="J1759" s="13">
        <v>15</v>
      </c>
      <c r="K1759" s="14" t="str">
        <f t="shared" si="380"/>
        <v>Twitter for Android</v>
      </c>
      <c r="L1759" s="13">
        <v>2875</v>
      </c>
      <c r="M1759" s="13">
        <v>299</v>
      </c>
      <c r="N1759" s="13">
        <v>63</v>
      </c>
      <c r="O1759" s="15"/>
      <c r="P1759" s="6">
        <v>40406.843807870369</v>
      </c>
      <c r="Q1759" s="16" t="s">
        <v>1335</v>
      </c>
      <c r="R1759" s="17" t="s">
        <v>1336</v>
      </c>
      <c r="S1759" s="11" t="s">
        <v>1337</v>
      </c>
      <c r="T1759" s="12"/>
      <c r="U1759" s="10" t="str">
        <f>HYPERLINK("https://pbs.twimg.com/profile_images/1027698376077451264/ybqgwhYD.jpg","View")</f>
        <v>View</v>
      </c>
    </row>
    <row r="1760" spans="1:21" ht="20.399999999999999">
      <c r="A1760" s="6">
        <v>43424.929386574076</v>
      </c>
      <c r="B1760" s="7" t="str">
        <f>HYPERLINK("https://twitter.com/julicesarNWork","@julicesarNWork")</f>
        <v>@julicesarNWork</v>
      </c>
      <c r="C1760" s="8" t="s">
        <v>7062</v>
      </c>
      <c r="D1760" s="9" t="s">
        <v>7063</v>
      </c>
      <c r="E1760" s="10" t="str">
        <f>HYPERLINK("https://twitter.com/julicesarNWork/status/1064991352646193153","1064991352646193153")</f>
        <v>1064991352646193153</v>
      </c>
      <c r="F1760" s="11" t="s">
        <v>5708</v>
      </c>
      <c r="G1760" s="12"/>
      <c r="H1760" s="12"/>
      <c r="I1760" s="13">
        <v>0</v>
      </c>
      <c r="J1760" s="13">
        <v>0</v>
      </c>
      <c r="K1760" s="14" t="str">
        <f>HYPERLINK("https://www.google.com/","Google")</f>
        <v>Google</v>
      </c>
      <c r="L1760" s="13">
        <v>74</v>
      </c>
      <c r="M1760" s="13">
        <v>217</v>
      </c>
      <c r="N1760" s="13">
        <v>1</v>
      </c>
      <c r="O1760" s="15"/>
      <c r="P1760" s="6">
        <v>41638.703310185185</v>
      </c>
      <c r="Q1760" s="12"/>
      <c r="R1760" s="19"/>
      <c r="S1760" s="12"/>
      <c r="T1760" s="12"/>
      <c r="U1760" s="10" t="str">
        <f>HYPERLINK("https://pbs.twimg.com/profile_images/532274786538246144/L8oinSoC.jpeg","View")</f>
        <v>View</v>
      </c>
    </row>
    <row r="1761" spans="1:21" ht="51">
      <c r="A1761" s="6">
        <v>43424.928703703699</v>
      </c>
      <c r="B1761" s="7" t="str">
        <f t="shared" ref="B1761:B1762" si="381">HYPERLINK("https://twitter.com/bitMomentum","@bitMomentum")</f>
        <v>@bitMomentum</v>
      </c>
      <c r="C1761" s="8" t="s">
        <v>706</v>
      </c>
      <c r="D1761" s="9" t="s">
        <v>4315</v>
      </c>
      <c r="E1761" s="10" t="str">
        <f>HYPERLINK("https://twitter.com/bitMomentum/status/1064991104653828096","1064991104653828096")</f>
        <v>1064991104653828096</v>
      </c>
      <c r="F1761" s="12"/>
      <c r="G1761" s="11" t="s">
        <v>4316</v>
      </c>
      <c r="H1761" s="12"/>
      <c r="I1761" s="13">
        <v>0</v>
      </c>
      <c r="J1761" s="13">
        <v>0</v>
      </c>
      <c r="K1761" s="14" t="str">
        <f t="shared" ref="K1761:K1762" si="382">HYPERLINK("http://www.bitmomentum.com","bitMomentum Bot")</f>
        <v>bitMomentum Bot</v>
      </c>
      <c r="L1761" s="13">
        <v>10132</v>
      </c>
      <c r="M1761" s="13">
        <v>1060</v>
      </c>
      <c r="N1761" s="13">
        <v>262</v>
      </c>
      <c r="O1761" s="15"/>
      <c r="P1761" s="6">
        <v>41608.667511574073</v>
      </c>
      <c r="Q1761" s="12"/>
      <c r="R1761" s="17" t="s">
        <v>708</v>
      </c>
      <c r="S1761" s="11" t="s">
        <v>709</v>
      </c>
      <c r="T1761" s="12"/>
      <c r="U1761" s="10" t="str">
        <f t="shared" ref="U1761:U1762" si="383">HYPERLINK("https://pbs.twimg.com/profile_images/378800000862185241/20ij2H3u.png","View")</f>
        <v>View</v>
      </c>
    </row>
    <row r="1762" spans="1:21" ht="40.799999999999997">
      <c r="A1762" s="6">
        <v>43424.928043981483</v>
      </c>
      <c r="B1762" s="7" t="str">
        <f t="shared" si="381"/>
        <v>@bitMomentum</v>
      </c>
      <c r="C1762" s="8" t="s">
        <v>706</v>
      </c>
      <c r="D1762" s="9" t="s">
        <v>4317</v>
      </c>
      <c r="E1762" s="10" t="str">
        <f>HYPERLINK("https://twitter.com/bitMomentum/status/1064990864500539392","1064990864500539392")</f>
        <v>1064990864500539392</v>
      </c>
      <c r="F1762" s="12"/>
      <c r="G1762" s="11" t="s">
        <v>4318</v>
      </c>
      <c r="H1762" s="12"/>
      <c r="I1762" s="13">
        <v>1</v>
      </c>
      <c r="J1762" s="13">
        <v>0</v>
      </c>
      <c r="K1762" s="14" t="str">
        <f t="shared" si="382"/>
        <v>bitMomentum Bot</v>
      </c>
      <c r="L1762" s="13">
        <v>10132</v>
      </c>
      <c r="M1762" s="13">
        <v>1060</v>
      </c>
      <c r="N1762" s="13">
        <v>262</v>
      </c>
      <c r="O1762" s="15"/>
      <c r="P1762" s="6">
        <v>41608.667511574073</v>
      </c>
      <c r="Q1762" s="12"/>
      <c r="R1762" s="17" t="s">
        <v>708</v>
      </c>
      <c r="S1762" s="11" t="s">
        <v>709</v>
      </c>
      <c r="T1762" s="12"/>
      <c r="U1762" s="10" t="str">
        <f t="shared" si="383"/>
        <v>View</v>
      </c>
    </row>
    <row r="1763" spans="1:21" ht="61.2">
      <c r="A1763" s="6">
        <v>43424.927974537037</v>
      </c>
      <c r="B1763" s="7" t="str">
        <f>HYPERLINK("https://twitter.com/JosuaMendez","@JosuaMendez")</f>
        <v>@JosuaMendez</v>
      </c>
      <c r="C1763" s="8" t="s">
        <v>4321</v>
      </c>
      <c r="D1763" s="9" t="s">
        <v>4322</v>
      </c>
      <c r="E1763" s="10" t="str">
        <f>HYPERLINK("https://twitter.com/JosuaMendez/status/1064990841146671109","1064990841146671109")</f>
        <v>1064990841146671109</v>
      </c>
      <c r="F1763" s="11" t="s">
        <v>4323</v>
      </c>
      <c r="G1763" s="11" t="s">
        <v>4324</v>
      </c>
      <c r="H1763" s="12"/>
      <c r="I1763" s="13">
        <v>0</v>
      </c>
      <c r="J1763" s="13">
        <v>0</v>
      </c>
      <c r="K1763" s="14" t="str">
        <f>HYPERLINK("https://mobile.twitter.com","Twitter Lite")</f>
        <v>Twitter Lite</v>
      </c>
      <c r="L1763" s="13">
        <v>2880</v>
      </c>
      <c r="M1763" s="13">
        <v>766</v>
      </c>
      <c r="N1763" s="13">
        <v>32</v>
      </c>
      <c r="O1763" s="15"/>
      <c r="P1763" s="6">
        <v>40684.822476851856</v>
      </c>
      <c r="Q1763" s="16" t="s">
        <v>4327</v>
      </c>
      <c r="R1763" s="17" t="s">
        <v>4328</v>
      </c>
      <c r="S1763" s="12"/>
      <c r="T1763" s="12"/>
      <c r="U1763" s="10" t="str">
        <f>HYPERLINK("https://pbs.twimg.com/profile_images/1053348660392742912/Myu3rxoi.jpg","View")</f>
        <v>View</v>
      </c>
    </row>
    <row r="1764" spans="1:21" ht="40.799999999999997">
      <c r="A1764" s="6">
        <v>43424.927303240736</v>
      </c>
      <c r="B1764" s="7" t="str">
        <f>HYPERLINK("https://twitter.com/ClotEnComu","@ClotEnComu")</f>
        <v>@ClotEnComu</v>
      </c>
      <c r="C1764" s="8" t="s">
        <v>7064</v>
      </c>
      <c r="D1764" s="9" t="s">
        <v>7065</v>
      </c>
      <c r="E1764" s="10" t="str">
        <f>HYPERLINK("https://twitter.com/ClotEnComu/status/1064990595666640896","1064990595666640896")</f>
        <v>1064990595666640896</v>
      </c>
      <c r="F1764" s="12"/>
      <c r="G1764" s="11" t="s">
        <v>7066</v>
      </c>
      <c r="H1764" s="12"/>
      <c r="I1764" s="13">
        <v>14</v>
      </c>
      <c r="J1764" s="13">
        <v>23</v>
      </c>
      <c r="K1764" s="14" t="str">
        <f>HYPERLINK("http://twitter.com/download/iphone","Twitter for iPhone")</f>
        <v>Twitter for iPhone</v>
      </c>
      <c r="L1764" s="13">
        <v>1808</v>
      </c>
      <c r="M1764" s="13">
        <v>3266</v>
      </c>
      <c r="N1764" s="13">
        <v>50</v>
      </c>
      <c r="O1764" s="15"/>
      <c r="P1764" s="6">
        <v>41886.000300925924</v>
      </c>
      <c r="Q1764" s="16" t="s">
        <v>7067</v>
      </c>
      <c r="R1764" s="17" t="s">
        <v>7068</v>
      </c>
      <c r="S1764" s="11" t="s">
        <v>7069</v>
      </c>
      <c r="T1764" s="12"/>
      <c r="U1764" s="10" t="str">
        <f>HYPERLINK("https://pbs.twimg.com/profile_images/1013857903617413121/l4JiXp3r.jpg","View")</f>
        <v>View</v>
      </c>
    </row>
    <row r="1765" spans="1:21" ht="102">
      <c r="A1765" s="6">
        <v>43424.927268518513</v>
      </c>
      <c r="B1765" s="7" t="str">
        <f>HYPERLINK("https://twitter.com/kiko_ac","@kiko_ac")</f>
        <v>@kiko_ac</v>
      </c>
      <c r="C1765" s="8" t="s">
        <v>4330</v>
      </c>
      <c r="D1765" s="9" t="s">
        <v>4331</v>
      </c>
      <c r="E1765" s="10" t="str">
        <f>HYPERLINK("https://twitter.com/kiko_ac/status/1064990583285010433","1064990583285010433")</f>
        <v>1064990583285010433</v>
      </c>
      <c r="F1765" s="11" t="s">
        <v>3542</v>
      </c>
      <c r="G1765" s="11" t="s">
        <v>3544</v>
      </c>
      <c r="H1765" s="12"/>
      <c r="I1765" s="13">
        <v>1</v>
      </c>
      <c r="J1765" s="13">
        <v>4</v>
      </c>
      <c r="K1765" s="14" t="str">
        <f>HYPERLINK("http://twitter.com/download/android","Twitter for Android")</f>
        <v>Twitter for Android</v>
      </c>
      <c r="L1765" s="13">
        <v>923</v>
      </c>
      <c r="M1765" s="13">
        <v>1344</v>
      </c>
      <c r="N1765" s="13">
        <v>22</v>
      </c>
      <c r="O1765" s="15"/>
      <c r="P1765" s="6">
        <v>40517.59648148148</v>
      </c>
      <c r="Q1765" s="16" t="s">
        <v>569</v>
      </c>
      <c r="R1765" s="17" t="s">
        <v>4334</v>
      </c>
      <c r="S1765" s="11" t="s">
        <v>4336</v>
      </c>
      <c r="T1765" s="12"/>
      <c r="U1765" s="10" t="str">
        <f>HYPERLINK("https://pbs.twimg.com/profile_images/556817459005890560/yvsNsk_4.jpeg","View")</f>
        <v>View</v>
      </c>
    </row>
    <row r="1766" spans="1:21" ht="81.599999999999994">
      <c r="A1766" s="6">
        <v>43424.926307870366</v>
      </c>
      <c r="B1766" s="7" t="str">
        <f>HYPERLINK("https://twitter.com/Paco__PO","@Paco__PO")</f>
        <v>@Paco__PO</v>
      </c>
      <c r="C1766" s="8" t="s">
        <v>4340</v>
      </c>
      <c r="D1766" s="9" t="s">
        <v>4341</v>
      </c>
      <c r="E1766" s="10" t="str">
        <f>HYPERLINK("https://twitter.com/Paco__PO/status/1064990237896658945","1064990237896658945")</f>
        <v>1064990237896658945</v>
      </c>
      <c r="F1766" s="11" t="s">
        <v>4342</v>
      </c>
      <c r="G1766" s="11" t="s">
        <v>2365</v>
      </c>
      <c r="H1766" s="12"/>
      <c r="I1766" s="13">
        <v>0</v>
      </c>
      <c r="J1766" s="13">
        <v>0</v>
      </c>
      <c r="K1766" s="14" t="str">
        <f>HYPERLINK("http://twitter.com","Twitter Web Client")</f>
        <v>Twitter Web Client</v>
      </c>
      <c r="L1766" s="13">
        <v>357</v>
      </c>
      <c r="M1766" s="13">
        <v>462</v>
      </c>
      <c r="N1766" s="13">
        <v>1</v>
      </c>
      <c r="O1766" s="15"/>
      <c r="P1766" s="6">
        <v>42681.415590277778</v>
      </c>
      <c r="Q1766" s="16" t="s">
        <v>37</v>
      </c>
      <c r="R1766" s="17" t="s">
        <v>4344</v>
      </c>
      <c r="S1766" s="12"/>
      <c r="T1766" s="12"/>
      <c r="U1766" s="10" t="str">
        <f>HYPERLINK("https://pbs.twimg.com/profile_images/795554381211041792/805q1Dfr.jpg","View")</f>
        <v>View</v>
      </c>
    </row>
    <row r="1767" spans="1:21" ht="61.2">
      <c r="A1767" s="6">
        <v>43424.92597222222</v>
      </c>
      <c r="B1767" s="7" t="str">
        <f>HYPERLINK("https://twitter.com/jbonR","@jbonR")</f>
        <v>@jbonR</v>
      </c>
      <c r="C1767" s="8" t="s">
        <v>7070</v>
      </c>
      <c r="D1767" s="9" t="s">
        <v>7071</v>
      </c>
      <c r="E1767" s="10" t="str">
        <f>HYPERLINK("https://twitter.com/jbonR/status/1064990113854382080","1064990113854382080")</f>
        <v>1064990113854382080</v>
      </c>
      <c r="F1767" s="12"/>
      <c r="G1767" s="11" t="s">
        <v>7072</v>
      </c>
      <c r="H1767" s="12"/>
      <c r="I1767" s="13">
        <v>8</v>
      </c>
      <c r="J1767" s="13">
        <v>11</v>
      </c>
      <c r="K1767" s="14" t="str">
        <f>HYPERLINK("http://twitter.com/#!/download/ipad","Twitter for iPad")</f>
        <v>Twitter for iPad</v>
      </c>
      <c r="L1767" s="13">
        <v>6336</v>
      </c>
      <c r="M1767" s="13">
        <v>6690</v>
      </c>
      <c r="N1767" s="13">
        <v>12</v>
      </c>
      <c r="O1767" s="15"/>
      <c r="P1767" s="6">
        <v>40661.765370370369</v>
      </c>
      <c r="Q1767" s="12"/>
      <c r="R1767" s="17" t="s">
        <v>7073</v>
      </c>
      <c r="S1767" s="12"/>
      <c r="T1767" s="12"/>
      <c r="U1767" s="10" t="str">
        <f>HYPERLINK("https://pbs.twimg.com/profile_images/1330504714/Ojo_de_Horus.jpg","View")</f>
        <v>View</v>
      </c>
    </row>
    <row r="1768" spans="1:21" ht="40.799999999999997">
      <c r="A1768" s="6">
        <v>43424.925000000003</v>
      </c>
      <c r="B1768" s="7" t="str">
        <f>HYPERLINK("https://twitter.com/Foncrack","@Foncrack")</f>
        <v>@Foncrack</v>
      </c>
      <c r="C1768" s="8" t="s">
        <v>4346</v>
      </c>
      <c r="D1768" s="9" t="s">
        <v>4347</v>
      </c>
      <c r="E1768" s="10" t="str">
        <f>HYPERLINK("https://twitter.com/Foncrack/status/1064989762040340480","1064989762040340480")</f>
        <v>1064989762040340480</v>
      </c>
      <c r="F1768" s="12"/>
      <c r="G1768" s="12"/>
      <c r="H1768" s="12"/>
      <c r="I1768" s="13">
        <v>0</v>
      </c>
      <c r="J1768" s="13">
        <v>0</v>
      </c>
      <c r="K1768" s="14" t="str">
        <f>HYPERLINK("http://twitter.com/download/iphone","Twitter for iPhone")</f>
        <v>Twitter for iPhone</v>
      </c>
      <c r="L1768" s="13">
        <v>666</v>
      </c>
      <c r="M1768" s="13">
        <v>1909</v>
      </c>
      <c r="N1768" s="13">
        <v>4</v>
      </c>
      <c r="O1768" s="15"/>
      <c r="P1768" s="6">
        <v>40080.775868055556</v>
      </c>
      <c r="Q1768" s="16" t="s">
        <v>4350</v>
      </c>
      <c r="R1768" s="17" t="s">
        <v>4351</v>
      </c>
      <c r="S1768" s="12"/>
      <c r="T1768" s="12"/>
      <c r="U1768" s="10" t="str">
        <f>HYPERLINK("https://pbs.twimg.com/profile_images/1008706165491068928/O9A7siR_.jpg","View")</f>
        <v>View</v>
      </c>
    </row>
    <row r="1769" spans="1:21" ht="20.399999999999999">
      <c r="A1769" s="6">
        <v>43424.924189814818</v>
      </c>
      <c r="B1769" s="7" t="str">
        <f>HYPERLINK("https://twitter.com/RepublicOfBetis","@RepublicOfBetis")</f>
        <v>@RepublicOfBetis</v>
      </c>
      <c r="C1769" s="8" t="s">
        <v>4354</v>
      </c>
      <c r="D1769" s="9" t="s">
        <v>4355</v>
      </c>
      <c r="E1769" s="10" t="str">
        <f>HYPERLINK("https://twitter.com/RepublicOfBetis/status/1064989468078342145","1064989468078342145")</f>
        <v>1064989468078342145</v>
      </c>
      <c r="F1769" s="12"/>
      <c r="G1769" s="12"/>
      <c r="H1769" s="12"/>
      <c r="I1769" s="13">
        <v>0</v>
      </c>
      <c r="J1769" s="13">
        <v>0</v>
      </c>
      <c r="K1769" s="14" t="str">
        <f>HYPERLINK("https://mobile.twitter.com","Twitter Lite")</f>
        <v>Twitter Lite</v>
      </c>
      <c r="L1769" s="13">
        <v>22</v>
      </c>
      <c r="M1769" s="13">
        <v>14</v>
      </c>
      <c r="N1769" s="13">
        <v>3</v>
      </c>
      <c r="O1769" s="15"/>
      <c r="P1769" s="6">
        <v>43366.957511574074</v>
      </c>
      <c r="Q1769" s="16" t="s">
        <v>4356</v>
      </c>
      <c r="R1769" s="19"/>
      <c r="S1769" s="12"/>
      <c r="T1769" s="12"/>
      <c r="U1769" s="10" t="str">
        <f>HYPERLINK("https://pbs.twimg.com/profile_images/1043969155035213825/FNvT9P5z.jpg","View")</f>
        <v>View</v>
      </c>
    </row>
    <row r="1770" spans="1:21" ht="51">
      <c r="A1770" s="6">
        <v>43424.922893518524</v>
      </c>
      <c r="B1770" s="7" t="str">
        <f>HYPERLINK("https://twitter.com/HispaniaFortius","@HispaniaFortius")</f>
        <v>@HispaniaFortius</v>
      </c>
      <c r="C1770" s="8" t="s">
        <v>4357</v>
      </c>
      <c r="D1770" s="9" t="s">
        <v>4358</v>
      </c>
      <c r="E1770" s="10" t="str">
        <f>HYPERLINK("https://twitter.com/HispaniaFortius/status/1064989000296005633","1064989000296005633")</f>
        <v>1064989000296005633</v>
      </c>
      <c r="F1770" s="12"/>
      <c r="G1770" s="11" t="s">
        <v>4360</v>
      </c>
      <c r="H1770" s="12"/>
      <c r="I1770" s="13">
        <v>9</v>
      </c>
      <c r="J1770" s="13">
        <v>11</v>
      </c>
      <c r="K1770" s="14" t="str">
        <f>HYPERLINK("http://twitter.com","Twitter Web Client")</f>
        <v>Twitter Web Client</v>
      </c>
      <c r="L1770" s="13">
        <v>4807</v>
      </c>
      <c r="M1770" s="13">
        <v>3174</v>
      </c>
      <c r="N1770" s="13">
        <v>25</v>
      </c>
      <c r="O1770" s="15"/>
      <c r="P1770" s="6">
        <v>42705.48436342593</v>
      </c>
      <c r="Q1770" s="16" t="s">
        <v>4363</v>
      </c>
      <c r="R1770" s="17" t="s">
        <v>4364</v>
      </c>
      <c r="S1770" s="11" t="s">
        <v>4365</v>
      </c>
      <c r="T1770" s="12"/>
      <c r="U1770" s="10" t="str">
        <f>HYPERLINK("https://pbs.twimg.com/profile_images/1046663897560829952/eNO1bPMq.jpg","View")</f>
        <v>View</v>
      </c>
    </row>
    <row r="1771" spans="1:21" ht="30.6">
      <c r="A1771" s="6">
        <v>43424.922766203701</v>
      </c>
      <c r="B1771" s="7" t="str">
        <f>HYPERLINK("https://twitter.com/runforfq","@runforfq")</f>
        <v>@runforfq</v>
      </c>
      <c r="C1771" s="8" t="s">
        <v>4368</v>
      </c>
      <c r="D1771" s="9" t="s">
        <v>4369</v>
      </c>
      <c r="E1771" s="10" t="str">
        <f>HYPERLINK("https://twitter.com/runforfq/status/1064988951600078849","1064988951600078849")</f>
        <v>1064988951600078849</v>
      </c>
      <c r="F1771" s="12"/>
      <c r="G1771" s="12"/>
      <c r="H1771" s="12"/>
      <c r="I1771" s="13">
        <v>6</v>
      </c>
      <c r="J1771" s="13">
        <v>8</v>
      </c>
      <c r="K1771" s="14" t="str">
        <f>HYPERLINK("http://twitter.com/download/iphone","Twitter for iPhone")</f>
        <v>Twitter for iPhone</v>
      </c>
      <c r="L1771" s="13">
        <v>112</v>
      </c>
      <c r="M1771" s="13">
        <v>346</v>
      </c>
      <c r="N1771" s="13">
        <v>3</v>
      </c>
      <c r="O1771" s="15"/>
      <c r="P1771" s="6">
        <v>41998.889525462961</v>
      </c>
      <c r="Q1771" s="16" t="s">
        <v>4371</v>
      </c>
      <c r="R1771" s="17" t="s">
        <v>4372</v>
      </c>
      <c r="S1771" s="11" t="s">
        <v>4373</v>
      </c>
      <c r="T1771" s="12"/>
      <c r="U1771" s="10" t="str">
        <f>HYPERLINK("https://pbs.twimg.com/profile_images/584444233098080256/_vsT7BHf.jpg","View")</f>
        <v>View</v>
      </c>
    </row>
    <row r="1772" spans="1:21" ht="20.399999999999999">
      <c r="A1772" s="6">
        <v>43424.922500000001</v>
      </c>
      <c r="B1772" s="7" t="str">
        <f>HYPERLINK("https://twitter.com/eltiodelatara","@eltiodelatara")</f>
        <v>@eltiodelatara</v>
      </c>
      <c r="C1772" s="8" t="s">
        <v>7074</v>
      </c>
      <c r="D1772" s="9" t="s">
        <v>7075</v>
      </c>
      <c r="E1772" s="10" t="str">
        <f>HYPERLINK("https://twitter.com/eltiodelatara/status/1064988854250340353","1064988854250340353")</f>
        <v>1064988854250340353</v>
      </c>
      <c r="F1772" s="12"/>
      <c r="G1772" s="12"/>
      <c r="H1772" s="12"/>
      <c r="I1772" s="13">
        <v>0</v>
      </c>
      <c r="J1772" s="13">
        <v>0</v>
      </c>
      <c r="K1772" s="14" t="str">
        <f t="shared" ref="K1772:K1775" si="384">HYPERLINK("http://twitter.com/download/android","Twitter for Android")</f>
        <v>Twitter for Android</v>
      </c>
      <c r="L1772" s="13">
        <v>59</v>
      </c>
      <c r="M1772" s="13">
        <v>491</v>
      </c>
      <c r="N1772" s="13">
        <v>0</v>
      </c>
      <c r="O1772" s="15"/>
      <c r="P1772" s="6">
        <v>43422.842314814814</v>
      </c>
      <c r="Q1772" s="12"/>
      <c r="R1772" s="17" t="s">
        <v>7076</v>
      </c>
      <c r="S1772" s="12"/>
      <c r="T1772" s="12"/>
      <c r="U1772" s="10" t="str">
        <f>HYPERLINK("https://pbs.twimg.com/profile_images/1064236292337295360/DAhVXI11.jpg","View")</f>
        <v>View</v>
      </c>
    </row>
    <row r="1773" spans="1:21" ht="51">
      <c r="A1773" s="6">
        <v>43424.922395833331</v>
      </c>
      <c r="B1773" s="7" t="str">
        <f>HYPERLINK("https://twitter.com/rivasguerraej","@rivasguerraej")</f>
        <v>@rivasguerraej</v>
      </c>
      <c r="C1773" s="8" t="s">
        <v>4375</v>
      </c>
      <c r="D1773" s="9" t="s">
        <v>4376</v>
      </c>
      <c r="E1773" s="10" t="str">
        <f>HYPERLINK("https://twitter.com/rivasguerraej/status/1064988818728722432","1064988818728722432")</f>
        <v>1064988818728722432</v>
      </c>
      <c r="F1773" s="12"/>
      <c r="G1773" s="12"/>
      <c r="H1773" s="12"/>
      <c r="I1773" s="13">
        <v>0</v>
      </c>
      <c r="J1773" s="13">
        <v>0</v>
      </c>
      <c r="K1773" s="14" t="str">
        <f t="shared" si="384"/>
        <v>Twitter for Android</v>
      </c>
      <c r="L1773" s="13">
        <v>21</v>
      </c>
      <c r="M1773" s="13">
        <v>93</v>
      </c>
      <c r="N1773" s="13">
        <v>0</v>
      </c>
      <c r="O1773" s="15"/>
      <c r="P1773" s="6">
        <v>41973.385636574079</v>
      </c>
      <c r="Q1773" s="12"/>
      <c r="R1773" s="19"/>
      <c r="S1773" s="12"/>
      <c r="T1773" s="12"/>
      <c r="U1773" s="10" t="str">
        <f>HYPERLINK("https://pbs.twimg.com/profile_images/538970796744794112/-DEFUn48.jpeg","View")</f>
        <v>View</v>
      </c>
    </row>
    <row r="1774" spans="1:21" ht="81.599999999999994">
      <c r="A1774" s="6">
        <v>43424.922013888892</v>
      </c>
      <c r="B1774" s="7" t="str">
        <f>HYPERLINK("https://twitter.com/delmoralo","@delmoralo")</f>
        <v>@delmoralo</v>
      </c>
      <c r="C1774" s="8" t="s">
        <v>1329</v>
      </c>
      <c r="D1774" s="9" t="s">
        <v>4377</v>
      </c>
      <c r="E1774" s="10" t="str">
        <f>HYPERLINK("https://twitter.com/delmoralo/status/1064988678307684358","1064988678307684358")</f>
        <v>1064988678307684358</v>
      </c>
      <c r="F1774" s="11" t="s">
        <v>4378</v>
      </c>
      <c r="G1774" s="11" t="s">
        <v>4379</v>
      </c>
      <c r="H1774" s="12"/>
      <c r="I1774" s="13">
        <v>0</v>
      </c>
      <c r="J1774" s="13">
        <v>1</v>
      </c>
      <c r="K1774" s="14" t="str">
        <f t="shared" si="384"/>
        <v>Twitter for Android</v>
      </c>
      <c r="L1774" s="13">
        <v>2875</v>
      </c>
      <c r="M1774" s="13">
        <v>299</v>
      </c>
      <c r="N1774" s="13">
        <v>63</v>
      </c>
      <c r="O1774" s="15"/>
      <c r="P1774" s="6">
        <v>40406.843807870369</v>
      </c>
      <c r="Q1774" s="16" t="s">
        <v>1335</v>
      </c>
      <c r="R1774" s="17" t="s">
        <v>1336</v>
      </c>
      <c r="S1774" s="11" t="s">
        <v>1337</v>
      </c>
      <c r="T1774" s="12"/>
      <c r="U1774" s="10" t="str">
        <f>HYPERLINK("https://pbs.twimg.com/profile_images/1027698376077451264/ybqgwhYD.jpg","View")</f>
        <v>View</v>
      </c>
    </row>
    <row r="1775" spans="1:21" ht="51">
      <c r="A1775" s="6">
        <v>43424.921932870369</v>
      </c>
      <c r="B1775" s="7" t="str">
        <f>HYPERLINK("https://twitter.com/7_ZeRoIo","@7_ZeRoIo")</f>
        <v>@7_ZeRoIo</v>
      </c>
      <c r="C1775" s="8" t="s">
        <v>5831</v>
      </c>
      <c r="D1775" s="9" t="s">
        <v>7077</v>
      </c>
      <c r="E1775" s="10" t="str">
        <f>HYPERLINK("https://twitter.com/7_ZeRoIo/status/1064988651103358976","1064988651103358976")</f>
        <v>1064988651103358976</v>
      </c>
      <c r="F1775" s="12"/>
      <c r="G1775" s="12"/>
      <c r="H1775" s="12"/>
      <c r="I1775" s="13">
        <v>2</v>
      </c>
      <c r="J1775" s="13">
        <v>4</v>
      </c>
      <c r="K1775" s="14" t="str">
        <f t="shared" si="384"/>
        <v>Twitter for Android</v>
      </c>
      <c r="L1775" s="13">
        <v>2965</v>
      </c>
      <c r="M1775" s="13">
        <v>3738</v>
      </c>
      <c r="N1775" s="13">
        <v>2</v>
      </c>
      <c r="O1775" s="15"/>
      <c r="P1775" s="6">
        <v>42329.796481481477</v>
      </c>
      <c r="Q1775" s="16" t="s">
        <v>727</v>
      </c>
      <c r="R1775" s="17" t="s">
        <v>5836</v>
      </c>
      <c r="S1775" s="12"/>
      <c r="T1775" s="12"/>
      <c r="U1775" s="10" t="str">
        <f>HYPERLINK("https://pbs.twimg.com/profile_images/1057754774085476352/Zcy5ihHq.jpg","View")</f>
        <v>View</v>
      </c>
    </row>
    <row r="1776" spans="1:21" ht="30.6">
      <c r="A1776" s="6">
        <v>43424.920729166668</v>
      </c>
      <c r="B1776" s="7" t="str">
        <f>HYPERLINK("https://twitter.com/josemifdez20","@josemifdez20")</f>
        <v>@josemifdez20</v>
      </c>
      <c r="C1776" s="8" t="s">
        <v>7078</v>
      </c>
      <c r="D1776" s="9" t="s">
        <v>7079</v>
      </c>
      <c r="E1776" s="10" t="str">
        <f>HYPERLINK("https://twitter.com/josemifdez20/status/1064988216242200578","1064988216242200578")</f>
        <v>1064988216242200578</v>
      </c>
      <c r="F1776" s="12"/>
      <c r="G1776" s="12"/>
      <c r="H1776" s="12"/>
      <c r="I1776" s="13">
        <v>0</v>
      </c>
      <c r="J1776" s="13">
        <v>1</v>
      </c>
      <c r="K1776" s="14" t="str">
        <f>HYPERLINK("http://twitter.com","Twitter Web Client")</f>
        <v>Twitter Web Client</v>
      </c>
      <c r="L1776" s="13">
        <v>392</v>
      </c>
      <c r="M1776" s="13">
        <v>1137</v>
      </c>
      <c r="N1776" s="13">
        <v>8</v>
      </c>
      <c r="O1776" s="15"/>
      <c r="P1776" s="6">
        <v>40958.853784722218</v>
      </c>
      <c r="Q1776" s="16" t="s">
        <v>7080</v>
      </c>
      <c r="R1776" s="17" t="s">
        <v>7081</v>
      </c>
      <c r="S1776" s="11" t="s">
        <v>7082</v>
      </c>
      <c r="T1776" s="12"/>
      <c r="U1776" s="10" t="str">
        <f>HYPERLINK("https://pbs.twimg.com/profile_images/891311393303126016/gNJ3SN8B.jpg","View")</f>
        <v>View</v>
      </c>
    </row>
    <row r="1777" spans="1:21" ht="102">
      <c r="A1777" s="6">
        <v>43424.920497685191</v>
      </c>
      <c r="B1777" s="7" t="str">
        <f>HYPERLINK("https://twitter.com/Lucia90647951","@Lucia90647951")</f>
        <v>@Lucia90647951</v>
      </c>
      <c r="C1777" s="8" t="s">
        <v>4382</v>
      </c>
      <c r="D1777" s="9" t="s">
        <v>4383</v>
      </c>
      <c r="E1777" s="10" t="str">
        <f>HYPERLINK("https://twitter.com/Lucia90647951/status/1064988129243877376","1064988129243877376")</f>
        <v>1064988129243877376</v>
      </c>
      <c r="F1777" s="11" t="s">
        <v>4005</v>
      </c>
      <c r="G1777" s="11" t="s">
        <v>4006</v>
      </c>
      <c r="H1777" s="12"/>
      <c r="I1777" s="13">
        <v>0</v>
      </c>
      <c r="J1777" s="13">
        <v>0</v>
      </c>
      <c r="K1777" s="14" t="str">
        <f>HYPERLINK("http://twitter.com/download/iphone","Twitter for iPhone")</f>
        <v>Twitter for iPhone</v>
      </c>
      <c r="L1777" s="13">
        <v>133</v>
      </c>
      <c r="M1777" s="13">
        <v>284</v>
      </c>
      <c r="N1777" s="13">
        <v>0</v>
      </c>
      <c r="O1777" s="15"/>
      <c r="P1777" s="6">
        <v>43384.95612268518</v>
      </c>
      <c r="Q1777" s="12"/>
      <c r="R1777" s="17" t="s">
        <v>4389</v>
      </c>
      <c r="S1777" s="12"/>
      <c r="T1777" s="12"/>
      <c r="U1777" s="10" t="str">
        <f>HYPERLINK("https://pbs.twimg.com/profile_images/1050493441669562368/LLmfSs9m.jpg","View")</f>
        <v>View</v>
      </c>
    </row>
    <row r="1778" spans="1:21" ht="30.6">
      <c r="A1778" s="6">
        <v>43424.919791666667</v>
      </c>
      <c r="B1778" s="7" t="str">
        <f>HYPERLINK("https://twitter.com/planeterito","@planeterito")</f>
        <v>@planeterito</v>
      </c>
      <c r="C1778" s="8" t="s">
        <v>4392</v>
      </c>
      <c r="D1778" s="9" t="s">
        <v>4393</v>
      </c>
      <c r="E1778" s="10" t="str">
        <f>HYPERLINK("https://twitter.com/planeterito/status/1064987875144421376","1064987875144421376")</f>
        <v>1064987875144421376</v>
      </c>
      <c r="F1778" s="12"/>
      <c r="G1778" s="11" t="s">
        <v>4394</v>
      </c>
      <c r="H1778" s="12"/>
      <c r="I1778" s="13">
        <v>15</v>
      </c>
      <c r="J1778" s="13">
        <v>25</v>
      </c>
      <c r="K1778" s="14" t="str">
        <f>HYPERLINK("http://twitter.com/download/android","Twitter for Android")</f>
        <v>Twitter for Android</v>
      </c>
      <c r="L1778" s="13">
        <v>2093</v>
      </c>
      <c r="M1778" s="13">
        <v>870</v>
      </c>
      <c r="N1778" s="13">
        <v>21</v>
      </c>
      <c r="O1778" s="15"/>
      <c r="P1778" s="6">
        <v>41177.041481481479</v>
      </c>
      <c r="Q1778" s="16" t="s">
        <v>4396</v>
      </c>
      <c r="R1778" s="17" t="s">
        <v>4397</v>
      </c>
      <c r="S1778" s="12"/>
      <c r="T1778" s="12"/>
      <c r="U1778" s="10" t="str">
        <f>HYPERLINK("https://pbs.twimg.com/profile_images/955188781161897985/RGb9PXwf.jpg","View")</f>
        <v>View</v>
      </c>
    </row>
    <row r="1779" spans="1:21" ht="51">
      <c r="A1779" s="6">
        <v>43424.91805555555</v>
      </c>
      <c r="B1779" s="7" t="str">
        <f>HYPERLINK("https://twitter.com/bitMomentum","@bitMomentum")</f>
        <v>@bitMomentum</v>
      </c>
      <c r="C1779" s="8" t="s">
        <v>706</v>
      </c>
      <c r="D1779" s="9" t="s">
        <v>4400</v>
      </c>
      <c r="E1779" s="10" t="str">
        <f>HYPERLINK("https://twitter.com/bitMomentum/status/1064987244061175812","1064987244061175812")</f>
        <v>1064987244061175812</v>
      </c>
      <c r="F1779" s="12"/>
      <c r="G1779" s="12"/>
      <c r="H1779" s="12"/>
      <c r="I1779" s="13">
        <v>0</v>
      </c>
      <c r="J1779" s="13">
        <v>0</v>
      </c>
      <c r="K1779" s="14" t="str">
        <f>HYPERLINK("http://www.bitmomentum.com","bitMomentum Bot")</f>
        <v>bitMomentum Bot</v>
      </c>
      <c r="L1779" s="13">
        <v>10132</v>
      </c>
      <c r="M1779" s="13">
        <v>1060</v>
      </c>
      <c r="N1779" s="13">
        <v>262</v>
      </c>
      <c r="O1779" s="15"/>
      <c r="P1779" s="6">
        <v>41608.667511574073</v>
      </c>
      <c r="Q1779" s="12"/>
      <c r="R1779" s="17" t="s">
        <v>708</v>
      </c>
      <c r="S1779" s="11" t="s">
        <v>709</v>
      </c>
      <c r="T1779" s="12"/>
      <c r="U1779" s="10" t="str">
        <f>HYPERLINK("https://pbs.twimg.com/profile_images/378800000862185241/20ij2H3u.png","View")</f>
        <v>View</v>
      </c>
    </row>
    <row r="1780" spans="1:21" ht="81.599999999999994">
      <c r="A1780" s="6">
        <v>43424.917916666665</v>
      </c>
      <c r="B1780" s="7" t="str">
        <f>HYPERLINK("https://twitter.com/Mariade78593897","@Mariade78593897")</f>
        <v>@Mariade78593897</v>
      </c>
      <c r="C1780" s="8" t="s">
        <v>7083</v>
      </c>
      <c r="D1780" s="9" t="s">
        <v>7084</v>
      </c>
      <c r="E1780" s="10" t="str">
        <f>HYPERLINK("https://twitter.com/Mariade78593897/status/1064987193469489153","1064987193469489153")</f>
        <v>1064987193469489153</v>
      </c>
      <c r="F1780" s="11" t="s">
        <v>7038</v>
      </c>
      <c r="G1780" s="12"/>
      <c r="H1780" s="12"/>
      <c r="I1780" s="13">
        <v>0</v>
      </c>
      <c r="J1780" s="13">
        <v>0</v>
      </c>
      <c r="K1780" s="14" t="str">
        <f t="shared" ref="K1780:K1781" si="385">HYPERLINK("http://twitter.com/#!/download/ipad","Twitter for iPad")</f>
        <v>Twitter for iPad</v>
      </c>
      <c r="L1780" s="13">
        <v>112</v>
      </c>
      <c r="M1780" s="13">
        <v>91</v>
      </c>
      <c r="N1780" s="13">
        <v>1</v>
      </c>
      <c r="O1780" s="15"/>
      <c r="P1780" s="6">
        <v>43310.833530092597</v>
      </c>
      <c r="Q1780" s="12"/>
      <c r="R1780" s="19"/>
      <c r="S1780" s="12"/>
      <c r="T1780" s="12"/>
      <c r="U1780" s="10" t="str">
        <f>HYPERLINK("https://pbs.twimg.com/profile_images/1023630679689646081/PTN1JlVb.jpg","View")</f>
        <v>View</v>
      </c>
    </row>
    <row r="1781" spans="1:21" ht="30.6">
      <c r="A1781" s="6">
        <v>43424.917662037042</v>
      </c>
      <c r="B1781" s="7" t="str">
        <f>HYPERLINK("https://twitter.com/Teixedal2","@Teixedal2")</f>
        <v>@Teixedal2</v>
      </c>
      <c r="C1781" s="8" t="s">
        <v>1610</v>
      </c>
      <c r="D1781" s="9" t="s">
        <v>6274</v>
      </c>
      <c r="E1781" s="10" t="str">
        <f>HYPERLINK("https://twitter.com/Teixedal2/status/1064987103107391490","1064987103107391490")</f>
        <v>1064987103107391490</v>
      </c>
      <c r="F1781" s="11" t="s">
        <v>4764</v>
      </c>
      <c r="G1781" s="12"/>
      <c r="H1781" s="12"/>
      <c r="I1781" s="13">
        <v>0</v>
      </c>
      <c r="J1781" s="13">
        <v>1</v>
      </c>
      <c r="K1781" s="14" t="str">
        <f t="shared" si="385"/>
        <v>Twitter for iPad</v>
      </c>
      <c r="L1781" s="13">
        <v>424</v>
      </c>
      <c r="M1781" s="13">
        <v>1029</v>
      </c>
      <c r="N1781" s="13">
        <v>0</v>
      </c>
      <c r="O1781" s="15"/>
      <c r="P1781" s="6">
        <v>43089.731087962966</v>
      </c>
      <c r="Q1781" s="16" t="s">
        <v>1612</v>
      </c>
      <c r="R1781" s="17" t="s">
        <v>1613</v>
      </c>
      <c r="S1781" s="12"/>
      <c r="T1781" s="12"/>
      <c r="U1781" s="18" t="s">
        <v>559</v>
      </c>
    </row>
    <row r="1782" spans="1:21" ht="20.399999999999999">
      <c r="A1782" s="6">
        <v>43424.917488425926</v>
      </c>
      <c r="B1782" s="7" t="str">
        <f>HYPERLINK("https://twitter.com/citricus2","@citricus2")</f>
        <v>@citricus2</v>
      </c>
      <c r="C1782" s="8" t="s">
        <v>7085</v>
      </c>
      <c r="D1782" s="9" t="s">
        <v>6996</v>
      </c>
      <c r="E1782" s="10" t="str">
        <f>HYPERLINK("https://twitter.com/citricus2/status/1064987038817181696","1064987038817181696")</f>
        <v>1064987038817181696</v>
      </c>
      <c r="F1782" s="11" t="s">
        <v>4215</v>
      </c>
      <c r="G1782" s="12"/>
      <c r="H1782" s="12"/>
      <c r="I1782" s="13">
        <v>0</v>
      </c>
      <c r="J1782" s="13">
        <v>1</v>
      </c>
      <c r="K1782" s="14" t="str">
        <f>HYPERLINK("http://twitter.com/download/iphone","Twitter for iPhone")</f>
        <v>Twitter for iPhone</v>
      </c>
      <c r="L1782" s="13">
        <v>628</v>
      </c>
      <c r="M1782" s="13">
        <v>1008</v>
      </c>
      <c r="N1782" s="13">
        <v>1</v>
      </c>
      <c r="O1782" s="15"/>
      <c r="P1782" s="6">
        <v>43223.925879629634</v>
      </c>
      <c r="Q1782" s="12"/>
      <c r="R1782" s="17" t="s">
        <v>7086</v>
      </c>
      <c r="S1782" s="12"/>
      <c r="T1782" s="12"/>
      <c r="U1782" s="10" t="str">
        <f>HYPERLINK("https://pbs.twimg.com/profile_images/992135888049238017/_J0k4cLd.jpg","View")</f>
        <v>View</v>
      </c>
    </row>
    <row r="1783" spans="1:21" ht="51">
      <c r="A1783" s="6">
        <v>43424.917361111111</v>
      </c>
      <c r="B1783" s="7" t="str">
        <f>HYPERLINK("https://twitter.com/bitMomentum","@bitMomentum")</f>
        <v>@bitMomentum</v>
      </c>
      <c r="C1783" s="8" t="s">
        <v>706</v>
      </c>
      <c r="D1783" s="9" t="s">
        <v>4402</v>
      </c>
      <c r="E1783" s="10" t="str">
        <f>HYPERLINK("https://twitter.com/bitMomentum/status/1064986992298156032","1064986992298156032")</f>
        <v>1064986992298156032</v>
      </c>
      <c r="F1783" s="12"/>
      <c r="G1783" s="12"/>
      <c r="H1783" s="12"/>
      <c r="I1783" s="13">
        <v>0</v>
      </c>
      <c r="J1783" s="13">
        <v>0</v>
      </c>
      <c r="K1783" s="14" t="str">
        <f>HYPERLINK("http://www.bitmomentum.com","bitMomentum Bot")</f>
        <v>bitMomentum Bot</v>
      </c>
      <c r="L1783" s="13">
        <v>10132</v>
      </c>
      <c r="M1783" s="13">
        <v>1060</v>
      </c>
      <c r="N1783" s="13">
        <v>262</v>
      </c>
      <c r="O1783" s="15"/>
      <c r="P1783" s="6">
        <v>41608.667511574073</v>
      </c>
      <c r="Q1783" s="12"/>
      <c r="R1783" s="17" t="s">
        <v>708</v>
      </c>
      <c r="S1783" s="11" t="s">
        <v>709</v>
      </c>
      <c r="T1783" s="12"/>
      <c r="U1783" s="10" t="str">
        <f>HYPERLINK("https://pbs.twimg.com/profile_images/378800000862185241/20ij2H3u.png","View")</f>
        <v>View</v>
      </c>
    </row>
    <row r="1784" spans="1:21" ht="20.399999999999999">
      <c r="A1784" s="6">
        <v>43424.917303240742</v>
      </c>
      <c r="B1784" s="7" t="str">
        <f>HYPERLINK("https://twitter.com/citricus2","@citricus2")</f>
        <v>@citricus2</v>
      </c>
      <c r="C1784" s="8" t="s">
        <v>7085</v>
      </c>
      <c r="D1784" s="9" t="s">
        <v>7004</v>
      </c>
      <c r="E1784" s="10" t="str">
        <f>HYPERLINK("https://twitter.com/citricus2/status/1064986970890346497","1064986970890346497")</f>
        <v>1064986970890346497</v>
      </c>
      <c r="F1784" s="11" t="s">
        <v>4465</v>
      </c>
      <c r="G1784" s="12"/>
      <c r="H1784" s="12"/>
      <c r="I1784" s="13">
        <v>0</v>
      </c>
      <c r="J1784" s="13">
        <v>1</v>
      </c>
      <c r="K1784" s="14" t="str">
        <f>HYPERLINK("http://twitter.com/download/iphone","Twitter for iPhone")</f>
        <v>Twitter for iPhone</v>
      </c>
      <c r="L1784" s="13">
        <v>628</v>
      </c>
      <c r="M1784" s="13">
        <v>1008</v>
      </c>
      <c r="N1784" s="13">
        <v>1</v>
      </c>
      <c r="O1784" s="15"/>
      <c r="P1784" s="6">
        <v>43223.925879629634</v>
      </c>
      <c r="Q1784" s="12"/>
      <c r="R1784" s="17" t="s">
        <v>7086</v>
      </c>
      <c r="S1784" s="12"/>
      <c r="T1784" s="12"/>
      <c r="U1784" s="10" t="str">
        <f>HYPERLINK("https://pbs.twimg.com/profile_images/992135888049238017/_J0k4cLd.jpg","View")</f>
        <v>View</v>
      </c>
    </row>
    <row r="1785" spans="1:21" ht="102">
      <c r="A1785" s="6">
        <v>43424.917245370365</v>
      </c>
      <c r="B1785" s="7" t="str">
        <f>HYPERLINK("https://twitter.com/delmoralo","@delmoralo")</f>
        <v>@delmoralo</v>
      </c>
      <c r="C1785" s="8" t="s">
        <v>1329</v>
      </c>
      <c r="D1785" s="9" t="s">
        <v>4403</v>
      </c>
      <c r="E1785" s="10" t="str">
        <f>HYPERLINK("https://twitter.com/delmoralo/status/1064986951772708864","1064986951772708864")</f>
        <v>1064986951772708864</v>
      </c>
      <c r="F1785" s="16" t="s">
        <v>4404</v>
      </c>
      <c r="G1785" s="12"/>
      <c r="H1785" s="12"/>
      <c r="I1785" s="13">
        <v>1</v>
      </c>
      <c r="J1785" s="13">
        <v>7</v>
      </c>
      <c r="K1785" s="14" t="str">
        <f>HYPERLINK("http://twitter.com/download/android","Twitter for Android")</f>
        <v>Twitter for Android</v>
      </c>
      <c r="L1785" s="13">
        <v>2875</v>
      </c>
      <c r="M1785" s="13">
        <v>299</v>
      </c>
      <c r="N1785" s="13">
        <v>63</v>
      </c>
      <c r="O1785" s="15"/>
      <c r="P1785" s="6">
        <v>40406.843807870369</v>
      </c>
      <c r="Q1785" s="16" t="s">
        <v>1335</v>
      </c>
      <c r="R1785" s="17" t="s">
        <v>1336</v>
      </c>
      <c r="S1785" s="11" t="s">
        <v>1337</v>
      </c>
      <c r="T1785" s="12"/>
      <c r="U1785" s="10" t="str">
        <f>HYPERLINK("https://pbs.twimg.com/profile_images/1027698376077451264/ybqgwhYD.jpg","View")</f>
        <v>View</v>
      </c>
    </row>
    <row r="1786" spans="1:21" ht="20.399999999999999">
      <c r="A1786" s="6">
        <v>43424.917048611111</v>
      </c>
      <c r="B1786" s="7" t="str">
        <f>HYPERLINK("https://twitter.com/citricus2","@citricus2")</f>
        <v>@citricus2</v>
      </c>
      <c r="C1786" s="8" t="s">
        <v>7085</v>
      </c>
      <c r="D1786" s="9" t="s">
        <v>7087</v>
      </c>
      <c r="E1786" s="10" t="str">
        <f>HYPERLINK("https://twitter.com/citricus2/status/1064986881186824193","1064986881186824193")</f>
        <v>1064986881186824193</v>
      </c>
      <c r="F1786" s="11" t="s">
        <v>4218</v>
      </c>
      <c r="G1786" s="12"/>
      <c r="H1786" s="12"/>
      <c r="I1786" s="13">
        <v>0</v>
      </c>
      <c r="J1786" s="13">
        <v>1</v>
      </c>
      <c r="K1786" s="14" t="str">
        <f>HYPERLINK("http://twitter.com/download/iphone","Twitter for iPhone")</f>
        <v>Twitter for iPhone</v>
      </c>
      <c r="L1786" s="13">
        <v>628</v>
      </c>
      <c r="M1786" s="13">
        <v>1008</v>
      </c>
      <c r="N1786" s="13">
        <v>1</v>
      </c>
      <c r="O1786" s="15"/>
      <c r="P1786" s="6">
        <v>43223.925879629634</v>
      </c>
      <c r="Q1786" s="12"/>
      <c r="R1786" s="17" t="s">
        <v>7086</v>
      </c>
      <c r="S1786" s="12"/>
      <c r="T1786" s="12"/>
      <c r="U1786" s="10" t="str">
        <f>HYPERLINK("https://pbs.twimg.com/profile_images/992135888049238017/_J0k4cLd.jpg","View")</f>
        <v>View</v>
      </c>
    </row>
    <row r="1787" spans="1:21" ht="40.799999999999997">
      <c r="A1787" s="6">
        <v>43424.916678240741</v>
      </c>
      <c r="B1787" s="7" t="str">
        <f>HYPERLINK("https://twitter.com/Cs_Madrid","@Cs_Madrid")</f>
        <v>@Cs_Madrid</v>
      </c>
      <c r="C1787" s="8" t="s">
        <v>2916</v>
      </c>
      <c r="D1787" s="9" t="s">
        <v>4407</v>
      </c>
      <c r="E1787" s="10" t="str">
        <f>HYPERLINK("https://twitter.com/Cs_Madrid/status/1064986745689657345","1064986745689657345")</f>
        <v>1064986745689657345</v>
      </c>
      <c r="F1787" s="12"/>
      <c r="G1787" s="11" t="s">
        <v>2918</v>
      </c>
      <c r="H1787" s="12"/>
      <c r="I1787" s="13">
        <v>12</v>
      </c>
      <c r="J1787" s="13">
        <v>21</v>
      </c>
      <c r="K1787" s="14" t="str">
        <f>HYPERLINK("https://studio.twitter.com","Media Studio")</f>
        <v>Media Studio</v>
      </c>
      <c r="L1787" s="13">
        <v>45841</v>
      </c>
      <c r="M1787" s="13">
        <v>4651</v>
      </c>
      <c r="N1787" s="13">
        <v>457</v>
      </c>
      <c r="O1787" s="18" t="s">
        <v>36</v>
      </c>
      <c r="P1787" s="6">
        <v>41347.871215277773</v>
      </c>
      <c r="Q1787" s="16" t="s">
        <v>2916</v>
      </c>
      <c r="R1787" s="17" t="s">
        <v>2919</v>
      </c>
      <c r="S1787" s="11" t="s">
        <v>2920</v>
      </c>
      <c r="T1787" s="12"/>
      <c r="U1787" s="10" t="str">
        <f>HYPERLINK("https://pbs.twimg.com/profile_images/1015885974017134593/kzase924.jpg","View")</f>
        <v>View</v>
      </c>
    </row>
    <row r="1788" spans="1:21" ht="30.6">
      <c r="A1788" s="6">
        <v>43424.916331018518</v>
      </c>
      <c r="B1788" s="7" t="str">
        <f>HYPERLINK("https://twitter.com/elperiodico","@elperiodico")</f>
        <v>@elperiodico</v>
      </c>
      <c r="C1788" s="8" t="s">
        <v>1583</v>
      </c>
      <c r="D1788" s="9" t="s">
        <v>4121</v>
      </c>
      <c r="E1788" s="10" t="str">
        <f>HYPERLINK("https://twitter.com/elperiodico/status/1064986621173530624","1064986621173530624")</f>
        <v>1064986621173530624</v>
      </c>
      <c r="F1788" s="11" t="s">
        <v>4414</v>
      </c>
      <c r="G1788" s="12"/>
      <c r="H1788" s="12"/>
      <c r="I1788" s="13">
        <v>8</v>
      </c>
      <c r="J1788" s="13">
        <v>24</v>
      </c>
      <c r="K1788" s="14" t="str">
        <f>HYPERLINK("http://dogtrack.es","DogTrack_Oficial")</f>
        <v>DogTrack_Oficial</v>
      </c>
      <c r="L1788" s="13">
        <v>596514</v>
      </c>
      <c r="M1788" s="13">
        <v>18498</v>
      </c>
      <c r="N1788" s="13">
        <v>6922</v>
      </c>
      <c r="O1788" s="18" t="s">
        <v>36</v>
      </c>
      <c r="P1788" s="6">
        <v>40456.539560185185</v>
      </c>
      <c r="Q1788" s="16" t="s">
        <v>75</v>
      </c>
      <c r="R1788" s="17" t="s">
        <v>1588</v>
      </c>
      <c r="S1788" s="11" t="s">
        <v>1589</v>
      </c>
      <c r="T1788" s="12"/>
      <c r="U1788" s="10" t="str">
        <f>HYPERLINK("https://pbs.twimg.com/profile_images/876802324135653377/s4G6oS9o.jpg","View")</f>
        <v>View</v>
      </c>
    </row>
    <row r="1789" spans="1:21" ht="40.799999999999997">
      <c r="A1789" s="6">
        <v>43424.916296296295</v>
      </c>
      <c r="B1789" s="7" t="str">
        <f>HYPERLINK("https://twitter.com/CiutadaPistoni","@CiutadaPistoni")</f>
        <v>@CiutadaPistoni</v>
      </c>
      <c r="C1789" s="8" t="s">
        <v>1603</v>
      </c>
      <c r="D1789" s="9" t="s">
        <v>4899</v>
      </c>
      <c r="E1789" s="10" t="str">
        <f>HYPERLINK("https://twitter.com/CiutadaPistoni/status/1064986608703889408","1064986608703889408")</f>
        <v>1064986608703889408</v>
      </c>
      <c r="F1789" s="11" t="s">
        <v>4901</v>
      </c>
      <c r="G1789" s="12"/>
      <c r="H1789" s="12"/>
      <c r="I1789" s="13">
        <v>6</v>
      </c>
      <c r="J1789" s="13">
        <v>4</v>
      </c>
      <c r="K1789" s="14" t="str">
        <f>HYPERLINK("http://twitter.com/download/android","Twitter for Android")</f>
        <v>Twitter for Android</v>
      </c>
      <c r="L1789" s="13">
        <v>343</v>
      </c>
      <c r="M1789" s="13">
        <v>800</v>
      </c>
      <c r="N1789" s="13">
        <v>1</v>
      </c>
      <c r="O1789" s="15"/>
      <c r="P1789" s="6">
        <v>42993.515439814815</v>
      </c>
      <c r="Q1789" s="16" t="s">
        <v>1606</v>
      </c>
      <c r="R1789" s="17" t="s">
        <v>1607</v>
      </c>
      <c r="S1789" s="12"/>
      <c r="T1789" s="12"/>
      <c r="U1789" s="10" t="str">
        <f>HYPERLINK("https://pbs.twimg.com/profile_images/908641029544402944/nynXc-K9.jpg","View")</f>
        <v>View</v>
      </c>
    </row>
    <row r="1790" spans="1:21" ht="40.799999999999997">
      <c r="A1790" s="6">
        <v>43424.915729166663</v>
      </c>
      <c r="B1790" s="7" t="str">
        <f>HYPERLINK("https://twitter.com/RosaRaduven","@RosaRaduven")</f>
        <v>@RosaRaduven</v>
      </c>
      <c r="C1790" s="8" t="s">
        <v>7088</v>
      </c>
      <c r="D1790" s="9" t="s">
        <v>7089</v>
      </c>
      <c r="E1790" s="10" t="str">
        <f>HYPERLINK("https://twitter.com/RosaRaduven/status/1064986403484897282","1064986403484897282")</f>
        <v>1064986403484897282</v>
      </c>
      <c r="F1790" s="12"/>
      <c r="G1790" s="12"/>
      <c r="H1790" s="12"/>
      <c r="I1790" s="13">
        <v>0</v>
      </c>
      <c r="J1790" s="13">
        <v>0</v>
      </c>
      <c r="K1790" s="14" t="str">
        <f>HYPERLINK("http://twitter.com","Twitter Web Client")</f>
        <v>Twitter Web Client</v>
      </c>
      <c r="L1790" s="13">
        <v>5</v>
      </c>
      <c r="M1790" s="13">
        <v>56</v>
      </c>
      <c r="N1790" s="13">
        <v>0</v>
      </c>
      <c r="O1790" s="15"/>
      <c r="P1790" s="6">
        <v>42096.671481481477</v>
      </c>
      <c r="Q1790" s="12"/>
      <c r="R1790" s="19"/>
      <c r="S1790" s="12"/>
      <c r="T1790" s="12"/>
      <c r="U1790" s="10" t="str">
        <f>HYPERLINK("https://pbs.twimg.com/profile_images/583632075590389760/CnmaTUsA.jpg","View")</f>
        <v>View</v>
      </c>
    </row>
    <row r="1791" spans="1:21" ht="40.799999999999997">
      <c r="A1791" s="6">
        <v>43424.914513888885</v>
      </c>
      <c r="B1791" s="7" t="str">
        <f>HYPERLINK("https://twitter.com/Coordinadora25S","@Coordinadora25S")</f>
        <v>@Coordinadora25S</v>
      </c>
      <c r="C1791" s="8" t="s">
        <v>5338</v>
      </c>
      <c r="D1791" s="9" t="s">
        <v>7090</v>
      </c>
      <c r="E1791" s="10" t="str">
        <f>HYPERLINK("https://twitter.com/Coordinadora25S/status/1064985960356737024","1064985960356737024")</f>
        <v>1064985960356737024</v>
      </c>
      <c r="F1791" s="12"/>
      <c r="G1791" s="11" t="s">
        <v>7091</v>
      </c>
      <c r="H1791" s="12"/>
      <c r="I1791" s="13">
        <v>158</v>
      </c>
      <c r="J1791" s="13">
        <v>275</v>
      </c>
      <c r="K1791" s="14" t="str">
        <f t="shared" ref="K1791:K1792" si="386">HYPERLINK("http://twitter.com/download/iphone","Twitter for iPhone")</f>
        <v>Twitter for iPhone</v>
      </c>
      <c r="L1791" s="13">
        <v>39824</v>
      </c>
      <c r="M1791" s="13">
        <v>697</v>
      </c>
      <c r="N1791" s="13">
        <v>609</v>
      </c>
      <c r="O1791" s="15"/>
      <c r="P1791" s="6">
        <v>41146.811180555553</v>
      </c>
      <c r="Q1791" s="16" t="s">
        <v>118</v>
      </c>
      <c r="R1791" s="17" t="s">
        <v>5343</v>
      </c>
      <c r="S1791" s="11" t="s">
        <v>5344</v>
      </c>
      <c r="T1791" s="12"/>
      <c r="U1791" s="10" t="str">
        <f>HYPERLINK("https://pbs.twimg.com/profile_images/972108356251987968/dbI9CW2T.jpg","View")</f>
        <v>View</v>
      </c>
    </row>
    <row r="1792" spans="1:21" ht="61.2">
      <c r="A1792" s="6">
        <v>43424.914259259254</v>
      </c>
      <c r="B1792" s="7" t="str">
        <f>HYPERLINK("https://twitter.com/emilcyc","@emilcyc")</f>
        <v>@emilcyc</v>
      </c>
      <c r="C1792" s="8" t="s">
        <v>4415</v>
      </c>
      <c r="D1792" s="9" t="s">
        <v>4416</v>
      </c>
      <c r="E1792" s="10" t="str">
        <f>HYPERLINK("https://twitter.com/emilcyc/status/1064985868849565696","1064985868849565696")</f>
        <v>1064985868849565696</v>
      </c>
      <c r="F1792" s="11" t="s">
        <v>4417</v>
      </c>
      <c r="G1792" s="12"/>
      <c r="H1792" s="12"/>
      <c r="I1792" s="13">
        <v>0</v>
      </c>
      <c r="J1792" s="13">
        <v>0</v>
      </c>
      <c r="K1792" s="14" t="str">
        <f t="shared" si="386"/>
        <v>Twitter for iPhone</v>
      </c>
      <c r="L1792" s="13">
        <v>3563</v>
      </c>
      <c r="M1792" s="13">
        <v>3456</v>
      </c>
      <c r="N1792" s="13">
        <v>98</v>
      </c>
      <c r="O1792" s="15"/>
      <c r="P1792" s="6">
        <v>40636.807187500002</v>
      </c>
      <c r="Q1792" s="16" t="s">
        <v>4420</v>
      </c>
      <c r="R1792" s="17" t="s">
        <v>4421</v>
      </c>
      <c r="S1792" s="11" t="s">
        <v>4422</v>
      </c>
      <c r="T1792" s="12"/>
      <c r="U1792" s="10" t="str">
        <f>HYPERLINK("https://pbs.twimg.com/profile_images/1049786260359925760/t-XR2kyw.jpg","View")</f>
        <v>View</v>
      </c>
    </row>
    <row r="1793" spans="1:21" ht="40.799999999999997">
      <c r="A1793" s="6">
        <v>43424.914201388892</v>
      </c>
      <c r="B1793" s="7" t="str">
        <f>HYPERLINK("https://twitter.com/Cs_Asturias","@Cs_Asturias")</f>
        <v>@Cs_Asturias</v>
      </c>
      <c r="C1793" s="8" t="s">
        <v>4697</v>
      </c>
      <c r="D1793" s="9" t="s">
        <v>7092</v>
      </c>
      <c r="E1793" s="10" t="str">
        <f>HYPERLINK("https://twitter.com/Cs_Asturias/status/1064985848054235142","1064985848054235142")</f>
        <v>1064985848054235142</v>
      </c>
      <c r="F1793" s="12"/>
      <c r="G1793" s="11" t="s">
        <v>7093</v>
      </c>
      <c r="H1793" s="12"/>
      <c r="I1793" s="13">
        <v>7</v>
      </c>
      <c r="J1793" s="13">
        <v>11</v>
      </c>
      <c r="K1793" s="14" t="str">
        <f>HYPERLINK("https://studio.twitter.com","Media Studio")</f>
        <v>Media Studio</v>
      </c>
      <c r="L1793" s="13">
        <v>5700</v>
      </c>
      <c r="M1793" s="13">
        <v>1484</v>
      </c>
      <c r="N1793" s="13">
        <v>98</v>
      </c>
      <c r="O1793" s="18" t="s">
        <v>36</v>
      </c>
      <c r="P1793" s="6">
        <v>41704.560023148151</v>
      </c>
      <c r="Q1793" s="12"/>
      <c r="R1793" s="17" t="s">
        <v>4702</v>
      </c>
      <c r="S1793" s="11" t="s">
        <v>473</v>
      </c>
      <c r="T1793" s="12"/>
      <c r="U1793" s="10" t="str">
        <f>HYPERLINK("https://pbs.twimg.com/profile_images/1053409692960075776/pqztNRjY.jpg","View")</f>
        <v>View</v>
      </c>
    </row>
    <row r="1794" spans="1:21" ht="51">
      <c r="A1794" s="6">
        <v>43424.913252314815</v>
      </c>
      <c r="B1794" s="7" t="str">
        <f>HYPERLINK("https://twitter.com/RatonzitaSpain","@RatonzitaSpain")</f>
        <v>@RatonzitaSpain</v>
      </c>
      <c r="C1794" s="8" t="s">
        <v>7094</v>
      </c>
      <c r="D1794" s="9" t="s">
        <v>7095</v>
      </c>
      <c r="E1794" s="10" t="str">
        <f>HYPERLINK("https://twitter.com/RatonzitaSpain/status/1064985506851811328","1064985506851811328")</f>
        <v>1064985506851811328</v>
      </c>
      <c r="F1794" s="12"/>
      <c r="G1794" s="12"/>
      <c r="H1794" s="12"/>
      <c r="I1794" s="13">
        <v>0</v>
      </c>
      <c r="J1794" s="13">
        <v>0</v>
      </c>
      <c r="K1794" s="14" t="str">
        <f>HYPERLINK("http://twitter.com/download/android","Twitter for Android")</f>
        <v>Twitter for Android</v>
      </c>
      <c r="L1794" s="13">
        <v>538</v>
      </c>
      <c r="M1794" s="13">
        <v>117</v>
      </c>
      <c r="N1794" s="13">
        <v>4</v>
      </c>
      <c r="O1794" s="15"/>
      <c r="P1794" s="6">
        <v>41084.574444444443</v>
      </c>
      <c r="Q1794" s="16" t="s">
        <v>421</v>
      </c>
      <c r="R1794" s="17" t="s">
        <v>7096</v>
      </c>
      <c r="S1794" s="11" t="s">
        <v>7097</v>
      </c>
      <c r="T1794" s="12"/>
      <c r="U1794" s="10" t="str">
        <f>HYPERLINK("https://pbs.twimg.com/profile_images/1061030579385352192/oSAINOwr.jpg","View")</f>
        <v>View</v>
      </c>
    </row>
    <row r="1795" spans="1:21" ht="13.2">
      <c r="A1795" s="6">
        <v>43424.913136574076</v>
      </c>
      <c r="B1795" s="7" t="str">
        <f>HYPERLINK("https://twitter.com/mysticxenia","@mysticxenia")</f>
        <v>@mysticxenia</v>
      </c>
      <c r="C1795" s="8" t="s">
        <v>7098</v>
      </c>
      <c r="D1795" s="9" t="s">
        <v>7099</v>
      </c>
      <c r="E1795" s="10" t="str">
        <f>HYPERLINK("https://twitter.com/mysticxenia/status/1064985464749387776","1064985464749387776")</f>
        <v>1064985464749387776</v>
      </c>
      <c r="F1795" s="12"/>
      <c r="G1795" s="12"/>
      <c r="H1795" s="12"/>
      <c r="I1795" s="13">
        <v>0</v>
      </c>
      <c r="J1795" s="13">
        <v>2</v>
      </c>
      <c r="K1795" s="14" t="str">
        <f t="shared" ref="K1795:K1797" si="387">HYPERLINK("http://twitter.com","Twitter Web Client")</f>
        <v>Twitter Web Client</v>
      </c>
      <c r="L1795" s="13">
        <v>356</v>
      </c>
      <c r="M1795" s="13">
        <v>489</v>
      </c>
      <c r="N1795" s="13">
        <v>10</v>
      </c>
      <c r="O1795" s="15"/>
      <c r="P1795" s="6">
        <v>41969.011215277773</v>
      </c>
      <c r="Q1795" s="16" t="s">
        <v>7100</v>
      </c>
      <c r="R1795" s="17" t="s">
        <v>7101</v>
      </c>
      <c r="S1795" s="11" t="s">
        <v>7102</v>
      </c>
      <c r="T1795" s="12"/>
      <c r="U1795" s="10" t="str">
        <f>HYPERLINK("https://pbs.twimg.com/profile_images/1045041120353439744/q6LLJwz7.jpg","View")</f>
        <v>View</v>
      </c>
    </row>
    <row r="1796" spans="1:21" ht="40.799999999999997">
      <c r="A1796" s="6">
        <v>43424.913136574076</v>
      </c>
      <c r="B1796" s="7" t="str">
        <f>HYPERLINK("https://twitter.com/begiakirekiz","@begiakirekiz")</f>
        <v>@begiakirekiz</v>
      </c>
      <c r="C1796" s="8" t="s">
        <v>7103</v>
      </c>
      <c r="D1796" s="9" t="s">
        <v>7104</v>
      </c>
      <c r="E1796" s="10" t="str">
        <f>HYPERLINK("https://twitter.com/begiakirekiz/status/1064985461863649280","1064985461863649280")</f>
        <v>1064985461863649280</v>
      </c>
      <c r="F1796" s="12"/>
      <c r="G1796" s="12"/>
      <c r="H1796" s="12"/>
      <c r="I1796" s="13">
        <v>1</v>
      </c>
      <c r="J1796" s="13">
        <v>2</v>
      </c>
      <c r="K1796" s="14" t="str">
        <f t="shared" si="387"/>
        <v>Twitter Web Client</v>
      </c>
      <c r="L1796" s="13">
        <v>3135</v>
      </c>
      <c r="M1796" s="13">
        <v>241</v>
      </c>
      <c r="N1796" s="13">
        <v>43</v>
      </c>
      <c r="O1796" s="15"/>
      <c r="P1796" s="6">
        <v>41318.951365740737</v>
      </c>
      <c r="Q1796" s="16" t="s">
        <v>7105</v>
      </c>
      <c r="R1796" s="17" t="s">
        <v>7106</v>
      </c>
      <c r="S1796" s="12"/>
      <c r="T1796" s="12"/>
      <c r="U1796" s="10" t="str">
        <f>HYPERLINK("https://pbs.twimg.com/profile_images/1057956676849025024/EH5bsX6U.jpg","View")</f>
        <v>View</v>
      </c>
    </row>
    <row r="1797" spans="1:21" ht="51">
      <c r="A1797" s="6">
        <v>43424.912673611107</v>
      </c>
      <c r="B1797" s="7" t="str">
        <f>HYPERLINK("https://twitter.com/Esparroqui","@Esparroqui")</f>
        <v>@Esparroqui</v>
      </c>
      <c r="C1797" s="8" t="s">
        <v>4623</v>
      </c>
      <c r="D1797" s="9" t="s">
        <v>7107</v>
      </c>
      <c r="E1797" s="10" t="str">
        <f>HYPERLINK("https://twitter.com/Esparroqui/status/1064985294787760133","1064985294787760133")</f>
        <v>1064985294787760133</v>
      </c>
      <c r="F1797" s="12"/>
      <c r="G1797" s="12"/>
      <c r="H1797" s="12"/>
      <c r="I1797" s="13">
        <v>42</v>
      </c>
      <c r="J1797" s="13">
        <v>74</v>
      </c>
      <c r="K1797" s="14" t="str">
        <f t="shared" si="387"/>
        <v>Twitter Web Client</v>
      </c>
      <c r="L1797" s="13">
        <v>46540</v>
      </c>
      <c r="M1797" s="13">
        <v>19062</v>
      </c>
      <c r="N1797" s="13">
        <v>316</v>
      </c>
      <c r="O1797" s="15"/>
      <c r="P1797" s="6">
        <v>40877.700613425928</v>
      </c>
      <c r="Q1797" s="16" t="s">
        <v>4626</v>
      </c>
      <c r="R1797" s="17" t="s">
        <v>4627</v>
      </c>
      <c r="S1797" s="11" t="s">
        <v>4628</v>
      </c>
      <c r="T1797" s="12"/>
      <c r="U1797" s="10" t="str">
        <f>HYPERLINK("https://pbs.twimg.com/profile_images/1017537354955882497/9PtegggA.jpg","View")</f>
        <v>View</v>
      </c>
    </row>
    <row r="1798" spans="1:21" ht="40.799999999999997">
      <c r="A1798" s="6">
        <v>43424.912569444445</v>
      </c>
      <c r="B1798" s="7" t="str">
        <f>HYPERLINK("https://twitter.com/PdeSamos","@PdeSamos")</f>
        <v>@PdeSamos</v>
      </c>
      <c r="C1798" s="8" t="s">
        <v>1574</v>
      </c>
      <c r="D1798" s="9" t="s">
        <v>7108</v>
      </c>
      <c r="E1798" s="10" t="str">
        <f>HYPERLINK("https://twitter.com/PdeSamos/status/1064985259454943234","1064985259454943234")</f>
        <v>1064985259454943234</v>
      </c>
      <c r="F1798" s="11" t="s">
        <v>7109</v>
      </c>
      <c r="G1798" s="12"/>
      <c r="H1798" s="12"/>
      <c r="I1798" s="13">
        <v>0</v>
      </c>
      <c r="J1798" s="13">
        <v>0</v>
      </c>
      <c r="K1798" s="14" t="str">
        <f>HYPERLINK("http://republico.ddns.net","App Libertad PdeSamos")</f>
        <v>App Libertad PdeSamos</v>
      </c>
      <c r="L1798" s="13">
        <v>5284</v>
      </c>
      <c r="M1798" s="13">
        <v>5302</v>
      </c>
      <c r="N1798" s="13">
        <v>12</v>
      </c>
      <c r="O1798" s="15"/>
      <c r="P1798" s="6">
        <v>42889.820567129631</v>
      </c>
      <c r="Q1798" s="16" t="s">
        <v>1579</v>
      </c>
      <c r="R1798" s="17" t="s">
        <v>1580</v>
      </c>
      <c r="S1798" s="12"/>
      <c r="T1798" s="12"/>
      <c r="U1798" s="10" t="str">
        <f>HYPERLINK("https://pbs.twimg.com/profile_images/871063742003511296/xK2IYbrO.jpg","View")</f>
        <v>View</v>
      </c>
    </row>
    <row r="1799" spans="1:21" ht="51">
      <c r="A1799" s="6">
        <v>43424.91233796296</v>
      </c>
      <c r="B1799" s="7" t="str">
        <f>HYPERLINK("https://twitter.com/outsiderthor","@outsiderthor")</f>
        <v>@outsiderthor</v>
      </c>
      <c r="C1799" s="8" t="s">
        <v>4425</v>
      </c>
      <c r="D1799" s="9" t="s">
        <v>4426</v>
      </c>
      <c r="E1799" s="10" t="str">
        <f>HYPERLINK("https://twitter.com/outsiderthor/status/1064985172179894279","1064985172179894279")</f>
        <v>1064985172179894279</v>
      </c>
      <c r="F1799" s="12"/>
      <c r="G1799" s="12"/>
      <c r="H1799" s="12"/>
      <c r="I1799" s="13">
        <v>13</v>
      </c>
      <c r="J1799" s="13">
        <v>13</v>
      </c>
      <c r="K1799" s="14" t="str">
        <f t="shared" ref="K1799:K1800" si="388">HYPERLINK("http://twitter.com","Twitter Web Client")</f>
        <v>Twitter Web Client</v>
      </c>
      <c r="L1799" s="13">
        <v>4914</v>
      </c>
      <c r="M1799" s="13">
        <v>4085</v>
      </c>
      <c r="N1799" s="13">
        <v>12</v>
      </c>
      <c r="O1799" s="15"/>
      <c r="P1799" s="6">
        <v>41413.594548611109</v>
      </c>
      <c r="Q1799" s="16" t="s">
        <v>4427</v>
      </c>
      <c r="R1799" s="17" t="s">
        <v>4428</v>
      </c>
      <c r="S1799" s="12"/>
      <c r="T1799" s="12"/>
      <c r="U1799" s="10" t="str">
        <f>HYPERLINK("https://pbs.twimg.com/profile_images/3680890606/34452f2ffc0ff9b7409a6239fd812647.jpeg","View")</f>
        <v>View</v>
      </c>
    </row>
    <row r="1800" spans="1:21" ht="112.2">
      <c r="A1800" s="6">
        <v>43424.911377314813</v>
      </c>
      <c r="B1800" s="7" t="str">
        <f>HYPERLINK("https://twitter.com/RosaMSJ2","@RosaMSJ2")</f>
        <v>@RosaMSJ2</v>
      </c>
      <c r="C1800" s="8" t="s">
        <v>4429</v>
      </c>
      <c r="D1800" s="9" t="s">
        <v>4430</v>
      </c>
      <c r="E1800" s="10" t="str">
        <f>HYPERLINK("https://twitter.com/RosaMSJ2/status/1064984825201864716","1064984825201864716")</f>
        <v>1064984825201864716</v>
      </c>
      <c r="F1800" s="16" t="s">
        <v>4431</v>
      </c>
      <c r="G1800" s="12"/>
      <c r="H1800" s="12"/>
      <c r="I1800" s="13">
        <v>1</v>
      </c>
      <c r="J1800" s="13">
        <v>1</v>
      </c>
      <c r="K1800" s="14" t="str">
        <f t="shared" si="388"/>
        <v>Twitter Web Client</v>
      </c>
      <c r="L1800" s="13">
        <v>749</v>
      </c>
      <c r="M1800" s="13">
        <v>717</v>
      </c>
      <c r="N1800" s="13">
        <v>0</v>
      </c>
      <c r="O1800" s="15"/>
      <c r="P1800" s="6">
        <v>43124.603460648148</v>
      </c>
      <c r="Q1800" s="12"/>
      <c r="R1800" s="17" t="s">
        <v>4432</v>
      </c>
      <c r="S1800" s="12"/>
      <c r="T1800" s="12"/>
      <c r="U1800" s="10" t="str">
        <f>HYPERLINK("https://pbs.twimg.com/profile_images/956168413684084737/z41Gd8nZ.jpg","View")</f>
        <v>View</v>
      </c>
    </row>
    <row r="1801" spans="1:21" ht="40.799999999999997">
      <c r="A1801" s="6">
        <v>43424.911076388889</v>
      </c>
      <c r="B1801" s="7" t="str">
        <f>HYPERLINK("https://twitter.com/Waterlord","@Waterlord")</f>
        <v>@Waterlord</v>
      </c>
      <c r="C1801" s="8" t="s">
        <v>4433</v>
      </c>
      <c r="D1801" s="9" t="s">
        <v>4434</v>
      </c>
      <c r="E1801" s="10" t="str">
        <f>HYPERLINK("https://twitter.com/Waterlord/status/1064984717618028546","1064984717618028546")</f>
        <v>1064984717618028546</v>
      </c>
      <c r="F1801" s="12"/>
      <c r="G1801" s="12"/>
      <c r="H1801" s="12"/>
      <c r="I1801" s="13">
        <v>0</v>
      </c>
      <c r="J1801" s="13">
        <v>0</v>
      </c>
      <c r="K1801" s="14" t="str">
        <f>HYPERLINK("http://twitter.com/download/android","Twitter for Android")</f>
        <v>Twitter for Android</v>
      </c>
      <c r="L1801" s="13">
        <v>778</v>
      </c>
      <c r="M1801" s="13">
        <v>1333</v>
      </c>
      <c r="N1801" s="13">
        <v>42</v>
      </c>
      <c r="O1801" s="15"/>
      <c r="P1801" s="6">
        <v>39181.546481481484</v>
      </c>
      <c r="Q1801" s="16" t="s">
        <v>4435</v>
      </c>
      <c r="R1801" s="17" t="s">
        <v>4436</v>
      </c>
      <c r="S1801" s="12"/>
      <c r="T1801" s="12"/>
      <c r="U1801" s="10" t="str">
        <f>HYPERLINK("https://pbs.twimg.com/profile_images/883458617516732416/48ecKVHW.jpg","View")</f>
        <v>View</v>
      </c>
    </row>
    <row r="1802" spans="1:21" ht="30.6">
      <c r="A1802" s="6">
        <v>43424.910798611112</v>
      </c>
      <c r="B1802" s="7" t="str">
        <f>HYPERLINK("https://twitter.com/RafaHumildad","@RafaHumildad")</f>
        <v>@RafaHumildad</v>
      </c>
      <c r="C1802" s="8" t="s">
        <v>776</v>
      </c>
      <c r="D1802" s="9" t="s">
        <v>4437</v>
      </c>
      <c r="E1802" s="10" t="str">
        <f>HYPERLINK("https://twitter.com/RafaHumildad/status/1064984615121797120","1064984615121797120")</f>
        <v>1064984615121797120</v>
      </c>
      <c r="F1802" s="12"/>
      <c r="G1802" s="12"/>
      <c r="H1802" s="12"/>
      <c r="I1802" s="13">
        <v>0</v>
      </c>
      <c r="J1802" s="13">
        <v>0</v>
      </c>
      <c r="K1802" s="14" t="str">
        <f>HYPERLINK("http://twitter.com","Twitter Web Client")</f>
        <v>Twitter Web Client</v>
      </c>
      <c r="L1802" s="13">
        <v>997</v>
      </c>
      <c r="M1802" s="13">
        <v>1149</v>
      </c>
      <c r="N1802" s="13">
        <v>15</v>
      </c>
      <c r="O1802" s="15"/>
      <c r="P1802" s="6">
        <v>40140.140729166669</v>
      </c>
      <c r="Q1802" s="12"/>
      <c r="R1802" s="17" t="s">
        <v>778</v>
      </c>
      <c r="S1802" s="12"/>
      <c r="T1802" s="12"/>
      <c r="U1802" s="10" t="str">
        <f>HYPERLINK("https://pbs.twimg.com/profile_images/949426795161489411/C_pVNSMb.jpg","View")</f>
        <v>View</v>
      </c>
    </row>
    <row r="1803" spans="1:21" ht="71.400000000000006">
      <c r="A1803" s="6">
        <v>43424.910428240742</v>
      </c>
      <c r="B1803" s="7" t="str">
        <f>HYPERLINK("https://twitter.com/SabatoFan","@SabatoFan")</f>
        <v>@SabatoFan</v>
      </c>
      <c r="C1803" s="8" t="s">
        <v>4438</v>
      </c>
      <c r="D1803" s="9" t="s">
        <v>4439</v>
      </c>
      <c r="E1803" s="10" t="str">
        <f>HYPERLINK("https://twitter.com/SabatoFan/status/1064984482611167232","1064984482611167232")</f>
        <v>1064984482611167232</v>
      </c>
      <c r="F1803" s="16" t="s">
        <v>4440</v>
      </c>
      <c r="G1803" s="12"/>
      <c r="H1803" s="12"/>
      <c r="I1803" s="13">
        <v>0</v>
      </c>
      <c r="J1803" s="13">
        <v>2</v>
      </c>
      <c r="K1803" s="14" t="str">
        <f>HYPERLINK("https://mobile.twitter.com","Twitter Lite")</f>
        <v>Twitter Lite</v>
      </c>
      <c r="L1803" s="13">
        <v>347</v>
      </c>
      <c r="M1803" s="13">
        <v>871</v>
      </c>
      <c r="N1803" s="13">
        <v>3</v>
      </c>
      <c r="O1803" s="15"/>
      <c r="P1803" s="6">
        <v>41226.00545138889</v>
      </c>
      <c r="Q1803" s="12"/>
      <c r="R1803" s="17" t="s">
        <v>4443</v>
      </c>
      <c r="S1803" s="12"/>
      <c r="T1803" s="12"/>
      <c r="U1803" s="10" t="str">
        <f>HYPERLINK("https://pbs.twimg.com/profile_images/2842306762/4398d93c14c88dc08905fb3c349e893f.jpeg","View")</f>
        <v>View</v>
      </c>
    </row>
    <row r="1804" spans="1:21" ht="30.6">
      <c r="A1804" s="6">
        <v>43424.910219907411</v>
      </c>
      <c r="B1804" s="7" t="str">
        <f>HYPERLINK("https://twitter.com/RafaHumildad","@RafaHumildad")</f>
        <v>@RafaHumildad</v>
      </c>
      <c r="C1804" s="8" t="s">
        <v>776</v>
      </c>
      <c r="D1804" s="9" t="s">
        <v>4446</v>
      </c>
      <c r="E1804" s="10" t="str">
        <f>HYPERLINK("https://twitter.com/RafaHumildad/status/1064984407679909889","1064984407679909889")</f>
        <v>1064984407679909889</v>
      </c>
      <c r="F1804" s="12"/>
      <c r="G1804" s="12"/>
      <c r="H1804" s="12"/>
      <c r="I1804" s="13">
        <v>0</v>
      </c>
      <c r="J1804" s="13">
        <v>0</v>
      </c>
      <c r="K1804" s="14" t="str">
        <f t="shared" ref="K1804:K1805" si="389">HYPERLINK("http://twitter.com","Twitter Web Client")</f>
        <v>Twitter Web Client</v>
      </c>
      <c r="L1804" s="13">
        <v>997</v>
      </c>
      <c r="M1804" s="13">
        <v>1149</v>
      </c>
      <c r="N1804" s="13">
        <v>15</v>
      </c>
      <c r="O1804" s="15"/>
      <c r="P1804" s="6">
        <v>40140.140729166669</v>
      </c>
      <c r="Q1804" s="12"/>
      <c r="R1804" s="17" t="s">
        <v>778</v>
      </c>
      <c r="S1804" s="12"/>
      <c r="T1804" s="12"/>
      <c r="U1804" s="10" t="str">
        <f>HYPERLINK("https://pbs.twimg.com/profile_images/949426795161489411/C_pVNSMb.jpg","View")</f>
        <v>View</v>
      </c>
    </row>
    <row r="1805" spans="1:21" ht="51">
      <c r="A1805" s="6">
        <v>43424.908668981487</v>
      </c>
      <c r="B1805" s="7" t="str">
        <f>HYPERLINK("https://twitter.com/cardinaleconnor","@cardinaleconnor")</f>
        <v>@cardinaleconnor</v>
      </c>
      <c r="C1805" s="8" t="s">
        <v>7019</v>
      </c>
      <c r="D1805" s="9" t="s">
        <v>7110</v>
      </c>
      <c r="E1805" s="10" t="str">
        <f>HYPERLINK("https://twitter.com/cardinaleconnor/status/1064983842044416000","1064983842044416000")</f>
        <v>1064983842044416000</v>
      </c>
      <c r="F1805" s="12"/>
      <c r="G1805" s="12"/>
      <c r="H1805" s="12"/>
      <c r="I1805" s="13">
        <v>0</v>
      </c>
      <c r="J1805" s="13">
        <v>0</v>
      </c>
      <c r="K1805" s="14" t="str">
        <f t="shared" si="389"/>
        <v>Twitter Web Client</v>
      </c>
      <c r="L1805" s="13">
        <v>899</v>
      </c>
      <c r="M1805" s="13">
        <v>1596</v>
      </c>
      <c r="N1805" s="13">
        <v>12</v>
      </c>
      <c r="O1805" s="15"/>
      <c r="P1805" s="6">
        <v>40787.979074074072</v>
      </c>
      <c r="Q1805" s="12"/>
      <c r="R1805" s="17" t="s">
        <v>7020</v>
      </c>
      <c r="S1805" s="12"/>
      <c r="T1805" s="12"/>
      <c r="U1805" s="10" t="str">
        <f>HYPERLINK("https://pbs.twimg.com/profile_images/1045463376971804672/yIjWZ-J4.jpg","View")</f>
        <v>View</v>
      </c>
    </row>
    <row r="1806" spans="1:21" ht="30.6">
      <c r="A1806" s="6">
        <v>43424.908576388887</v>
      </c>
      <c r="B1806" s="7" t="str">
        <f>HYPERLINK("https://twitter.com/Delfos72220099","@Delfos72220099")</f>
        <v>@Delfos72220099</v>
      </c>
      <c r="C1806" s="8" t="s">
        <v>7111</v>
      </c>
      <c r="D1806" s="9" t="s">
        <v>7112</v>
      </c>
      <c r="E1806" s="10" t="str">
        <f>HYPERLINK("https://twitter.com/Delfos72220099/status/1064983811824459777","1064983811824459777")</f>
        <v>1064983811824459777</v>
      </c>
      <c r="F1806" s="12"/>
      <c r="G1806" s="12"/>
      <c r="H1806" s="12"/>
      <c r="I1806" s="13">
        <v>8</v>
      </c>
      <c r="J1806" s="13">
        <v>18</v>
      </c>
      <c r="K1806" s="14" t="str">
        <f>HYPERLINK("http://twitter.com/download/android","Twitter for Android")</f>
        <v>Twitter for Android</v>
      </c>
      <c r="L1806" s="13">
        <v>23</v>
      </c>
      <c r="M1806" s="13">
        <v>20</v>
      </c>
      <c r="N1806" s="13">
        <v>0</v>
      </c>
      <c r="O1806" s="15"/>
      <c r="P1806" s="6">
        <v>42877.546527777777</v>
      </c>
      <c r="Q1806" s="12"/>
      <c r="R1806" s="17" t="s">
        <v>7113</v>
      </c>
      <c r="S1806" s="12"/>
      <c r="T1806" s="12"/>
      <c r="U1806" s="10" t="str">
        <f>HYPERLINK("https://pbs.twimg.com/profile_images/978502010571055104/0HPyXYrL.jpg","View")</f>
        <v>View</v>
      </c>
    </row>
    <row r="1807" spans="1:21" ht="51">
      <c r="A1807" s="6">
        <v>43424.908333333333</v>
      </c>
      <c r="B1807" s="7" t="str">
        <f>HYPERLINK("https://twitter.com/Esparroqui","@Esparroqui")</f>
        <v>@Esparroqui</v>
      </c>
      <c r="C1807" s="8" t="s">
        <v>4623</v>
      </c>
      <c r="D1807" s="9" t="s">
        <v>7114</v>
      </c>
      <c r="E1807" s="10" t="str">
        <f>HYPERLINK("https://twitter.com/Esparroqui/status/1064983723832238080","1064983723832238080")</f>
        <v>1064983723832238080</v>
      </c>
      <c r="F1807" s="12"/>
      <c r="G1807" s="11" t="s">
        <v>7115</v>
      </c>
      <c r="H1807" s="12"/>
      <c r="I1807" s="13">
        <v>10</v>
      </c>
      <c r="J1807" s="13">
        <v>16</v>
      </c>
      <c r="K1807" s="14" t="str">
        <f>HYPERLINK("http://twitter.com","Twitter Web Client")</f>
        <v>Twitter Web Client</v>
      </c>
      <c r="L1807" s="13">
        <v>46540</v>
      </c>
      <c r="M1807" s="13">
        <v>19062</v>
      </c>
      <c r="N1807" s="13">
        <v>316</v>
      </c>
      <c r="O1807" s="15"/>
      <c r="P1807" s="6">
        <v>40877.700613425928</v>
      </c>
      <c r="Q1807" s="16" t="s">
        <v>4626</v>
      </c>
      <c r="R1807" s="17" t="s">
        <v>4627</v>
      </c>
      <c r="S1807" s="11" t="s">
        <v>4628</v>
      </c>
      <c r="T1807" s="12"/>
      <c r="U1807" s="10" t="str">
        <f>HYPERLINK("https://pbs.twimg.com/profile_images/1017537354955882497/9PtegggA.jpg","View")</f>
        <v>View</v>
      </c>
    </row>
    <row r="1808" spans="1:21" ht="51">
      <c r="A1808" s="6">
        <v>43424.908125000002</v>
      </c>
      <c r="B1808" s="7" t="str">
        <f>HYPERLINK("https://twitter.com/tuitiritran","@tuitiritran")</f>
        <v>@tuitiritran</v>
      </c>
      <c r="C1808" s="8" t="s">
        <v>2496</v>
      </c>
      <c r="D1808" s="9" t="s">
        <v>4448</v>
      </c>
      <c r="E1808" s="10" t="str">
        <f>HYPERLINK("https://twitter.com/tuitiritran/status/1064983645423890433","1064983645423890433")</f>
        <v>1064983645423890433</v>
      </c>
      <c r="F1808" s="12"/>
      <c r="G1808" s="12"/>
      <c r="H1808" s="12"/>
      <c r="I1808" s="13">
        <v>0</v>
      </c>
      <c r="J1808" s="13">
        <v>0</v>
      </c>
      <c r="K1808" s="14" t="str">
        <f t="shared" ref="K1808:K1812" si="390">HYPERLINK("http://twitter.com/download/android","Twitter for Android")</f>
        <v>Twitter for Android</v>
      </c>
      <c r="L1808" s="13">
        <v>390</v>
      </c>
      <c r="M1808" s="13">
        <v>231</v>
      </c>
      <c r="N1808" s="13">
        <v>1</v>
      </c>
      <c r="O1808" s="15"/>
      <c r="P1808" s="6">
        <v>43044.588229166664</v>
      </c>
      <c r="Q1808" s="16" t="s">
        <v>2499</v>
      </c>
      <c r="R1808" s="17" t="s">
        <v>2500</v>
      </c>
      <c r="S1808" s="12"/>
      <c r="T1808" s="12"/>
      <c r="U1808" s="10" t="str">
        <f>HYPERLINK("https://pbs.twimg.com/profile_images/1000008540818477056/2g7AxKL8.jpg","View")</f>
        <v>View</v>
      </c>
    </row>
    <row r="1809" spans="1:21" ht="71.400000000000006">
      <c r="A1809" s="6">
        <v>43424.907939814817</v>
      </c>
      <c r="B1809" s="7" t="str">
        <f>HYPERLINK("https://twitter.com/josaloalf","@josaloalf")</f>
        <v>@josaloalf</v>
      </c>
      <c r="C1809" s="8" t="s">
        <v>4449</v>
      </c>
      <c r="D1809" s="9" t="s">
        <v>4450</v>
      </c>
      <c r="E1809" s="10" t="str">
        <f>HYPERLINK("https://twitter.com/josaloalf/status/1064983578281484288","1064983578281484288")</f>
        <v>1064983578281484288</v>
      </c>
      <c r="F1809" s="11" t="s">
        <v>4451</v>
      </c>
      <c r="G1809" s="11" t="s">
        <v>4452</v>
      </c>
      <c r="H1809" s="12"/>
      <c r="I1809" s="13">
        <v>0</v>
      </c>
      <c r="J1809" s="13">
        <v>0</v>
      </c>
      <c r="K1809" s="14" t="str">
        <f t="shared" si="390"/>
        <v>Twitter for Android</v>
      </c>
      <c r="L1809" s="13">
        <v>60</v>
      </c>
      <c r="M1809" s="13">
        <v>126</v>
      </c>
      <c r="N1809" s="13">
        <v>1</v>
      </c>
      <c r="O1809" s="15"/>
      <c r="P1809" s="6">
        <v>41175.737766203703</v>
      </c>
      <c r="Q1809" s="12"/>
      <c r="R1809" s="19"/>
      <c r="S1809" s="12"/>
      <c r="T1809" s="12"/>
      <c r="U1809" s="10" t="str">
        <f>HYPERLINK("https://pbs.twimg.com/profile_images/2641654363/e5a707b806547cc05d6ba6b89cc7e658.png","View")</f>
        <v>View</v>
      </c>
    </row>
    <row r="1810" spans="1:21" ht="30.6">
      <c r="A1810" s="6">
        <v>43424.907708333332</v>
      </c>
      <c r="B1810" s="7" t="str">
        <f>HYPERLINK("https://twitter.com/sntrlz","@sntrlz")</f>
        <v>@sntrlz</v>
      </c>
      <c r="C1810" s="8" t="s">
        <v>3053</v>
      </c>
      <c r="D1810" s="9" t="s">
        <v>7116</v>
      </c>
      <c r="E1810" s="10" t="str">
        <f>HYPERLINK("https://twitter.com/sntrlz/status/1064983494038822914","1064983494038822914")</f>
        <v>1064983494038822914</v>
      </c>
      <c r="F1810" s="12"/>
      <c r="G1810" s="12"/>
      <c r="H1810" s="12"/>
      <c r="I1810" s="13">
        <v>1</v>
      </c>
      <c r="J1810" s="13">
        <v>1</v>
      </c>
      <c r="K1810" s="14" t="str">
        <f t="shared" si="390"/>
        <v>Twitter for Android</v>
      </c>
      <c r="L1810" s="13">
        <v>650</v>
      </c>
      <c r="M1810" s="13">
        <v>692</v>
      </c>
      <c r="N1810" s="13">
        <v>5</v>
      </c>
      <c r="O1810" s="15"/>
      <c r="P1810" s="6">
        <v>42098.472164351857</v>
      </c>
      <c r="Q1810" s="16" t="s">
        <v>3058</v>
      </c>
      <c r="R1810" s="17" t="s">
        <v>3059</v>
      </c>
      <c r="S1810" s="11" t="s">
        <v>3060</v>
      </c>
      <c r="T1810" s="12"/>
      <c r="U1810" s="10" t="str">
        <f>HYPERLINK("https://pbs.twimg.com/profile_images/679005195368550401/GVB5y5BV.jpg","View")</f>
        <v>View</v>
      </c>
    </row>
    <row r="1811" spans="1:21" ht="61.2">
      <c r="A1811" s="6">
        <v>43424.906666666662</v>
      </c>
      <c r="B1811" s="7" t="str">
        <f>HYPERLINK("https://twitter.com/rivasguerraej","@rivasguerraej")</f>
        <v>@rivasguerraej</v>
      </c>
      <c r="C1811" s="8" t="s">
        <v>4375</v>
      </c>
      <c r="D1811" s="9" t="s">
        <v>4453</v>
      </c>
      <c r="E1811" s="10" t="str">
        <f>HYPERLINK("https://twitter.com/rivasguerraej/status/1064983118493466627","1064983118493466627")</f>
        <v>1064983118493466627</v>
      </c>
      <c r="F1811" s="12"/>
      <c r="G1811" s="12"/>
      <c r="H1811" s="12"/>
      <c r="I1811" s="13">
        <v>0</v>
      </c>
      <c r="J1811" s="13">
        <v>0</v>
      </c>
      <c r="K1811" s="14" t="str">
        <f t="shared" si="390"/>
        <v>Twitter for Android</v>
      </c>
      <c r="L1811" s="13">
        <v>21</v>
      </c>
      <c r="M1811" s="13">
        <v>93</v>
      </c>
      <c r="N1811" s="13">
        <v>0</v>
      </c>
      <c r="O1811" s="15"/>
      <c r="P1811" s="6">
        <v>41973.385636574079</v>
      </c>
      <c r="Q1811" s="12"/>
      <c r="R1811" s="19"/>
      <c r="S1811" s="12"/>
      <c r="T1811" s="12"/>
      <c r="U1811" s="10" t="str">
        <f>HYPERLINK("https://pbs.twimg.com/profile_images/538970796744794112/-DEFUn48.jpeg","View")</f>
        <v>View</v>
      </c>
    </row>
    <row r="1812" spans="1:21" ht="20.399999999999999">
      <c r="A1812" s="6">
        <v>43424.906342592592</v>
      </c>
      <c r="B1812" s="7" t="str">
        <f>HYPERLINK("https://twitter.com/CsAngieM","@CsAngieM")</f>
        <v>@CsAngieM</v>
      </c>
      <c r="C1812" s="8" t="s">
        <v>7117</v>
      </c>
      <c r="D1812" s="9" t="s">
        <v>7118</v>
      </c>
      <c r="E1812" s="10" t="str">
        <f>HYPERLINK("https://twitter.com/CsAngieM/status/1064983002978156546","1064983002978156546")</f>
        <v>1064983002978156546</v>
      </c>
      <c r="F1812" s="11" t="s">
        <v>4465</v>
      </c>
      <c r="G1812" s="12"/>
      <c r="H1812" s="12"/>
      <c r="I1812" s="13">
        <v>0</v>
      </c>
      <c r="J1812" s="13">
        <v>3</v>
      </c>
      <c r="K1812" s="14" t="str">
        <f t="shared" si="390"/>
        <v>Twitter for Android</v>
      </c>
      <c r="L1812" s="13">
        <v>2160</v>
      </c>
      <c r="M1812" s="13">
        <v>2068</v>
      </c>
      <c r="N1812" s="13">
        <v>11</v>
      </c>
      <c r="O1812" s="15"/>
      <c r="P1812" s="6">
        <v>42069.936006944445</v>
      </c>
      <c r="Q1812" s="16" t="s">
        <v>7119</v>
      </c>
      <c r="R1812" s="17" t="s">
        <v>7120</v>
      </c>
      <c r="S1812" s="12"/>
      <c r="T1812" s="12"/>
      <c r="U1812" s="10" t="str">
        <f>HYPERLINK("https://pbs.twimg.com/profile_images/1063734698835410946/mPuRL-UE.jpg","View")</f>
        <v>View</v>
      </c>
    </row>
    <row r="1813" spans="1:21" ht="51">
      <c r="A1813" s="6">
        <v>43424.904699074075</v>
      </c>
      <c r="B1813" s="7" t="str">
        <f>HYPERLINK("https://twitter.com/EmilioG13435509","@EmilioG13435509")</f>
        <v>@EmilioG13435509</v>
      </c>
      <c r="C1813" s="8" t="s">
        <v>7121</v>
      </c>
      <c r="D1813" s="9" t="s">
        <v>7122</v>
      </c>
      <c r="E1813" s="10" t="str">
        <f>HYPERLINK("https://twitter.com/EmilioG13435509/status/1064982404291534849","1064982404291534849")</f>
        <v>1064982404291534849</v>
      </c>
      <c r="F1813" s="11" t="s">
        <v>7123</v>
      </c>
      <c r="G1813" s="12"/>
      <c r="H1813" s="12"/>
      <c r="I1813" s="13">
        <v>0</v>
      </c>
      <c r="J1813" s="13">
        <v>0</v>
      </c>
      <c r="K1813" s="14" t="str">
        <f>HYPERLINK("https://mobile.twitter.com","Twitter Lite")</f>
        <v>Twitter Lite</v>
      </c>
      <c r="L1813" s="13">
        <v>159</v>
      </c>
      <c r="M1813" s="13">
        <v>433</v>
      </c>
      <c r="N1813" s="13">
        <v>0</v>
      </c>
      <c r="O1813" s="15"/>
      <c r="P1813" s="6">
        <v>43050.553622685184</v>
      </c>
      <c r="Q1813" s="16" t="s">
        <v>37</v>
      </c>
      <c r="R1813" s="17" t="s">
        <v>7124</v>
      </c>
      <c r="S1813" s="12"/>
      <c r="T1813" s="12"/>
      <c r="U1813" s="10" t="str">
        <f>HYPERLINK("https://pbs.twimg.com/profile_images/939318792282427397/uTCLIszh.jpg","View")</f>
        <v>View</v>
      </c>
    </row>
    <row r="1814" spans="1:21" ht="51">
      <c r="A1814" s="6">
        <v>43424.902199074073</v>
      </c>
      <c r="B1814" s="7" t="str">
        <f>HYPERLINK("https://twitter.com/CsLosLlanos","@CsLosLlanos")</f>
        <v>@CsLosLlanos</v>
      </c>
      <c r="C1814" s="8" t="s">
        <v>4454</v>
      </c>
      <c r="D1814" s="9" t="s">
        <v>4455</v>
      </c>
      <c r="E1814" s="10" t="str">
        <f>HYPERLINK("https://twitter.com/CsLosLlanos/status/1064981499227922432","1064981499227922432")</f>
        <v>1064981499227922432</v>
      </c>
      <c r="F1814" s="12"/>
      <c r="G1814" s="11" t="s">
        <v>4456</v>
      </c>
      <c r="H1814" s="12"/>
      <c r="I1814" s="13">
        <v>1</v>
      </c>
      <c r="J1814" s="13">
        <v>0</v>
      </c>
      <c r="K1814" s="14" t="str">
        <f>HYPERLINK("https://www.hootsuite.com","Hootsuite Inc.")</f>
        <v>Hootsuite Inc.</v>
      </c>
      <c r="L1814" s="13">
        <v>122</v>
      </c>
      <c r="M1814" s="13">
        <v>47</v>
      </c>
      <c r="N1814" s="13">
        <v>1</v>
      </c>
      <c r="O1814" s="15"/>
      <c r="P1814" s="6">
        <v>43049.556562500002</v>
      </c>
      <c r="Q1814" s="16" t="s">
        <v>4457</v>
      </c>
      <c r="R1814" s="17" t="s">
        <v>4458</v>
      </c>
      <c r="S1814" s="11" t="s">
        <v>346</v>
      </c>
      <c r="T1814" s="12"/>
      <c r="U1814" s="10" t="str">
        <f>HYPERLINK("https://pbs.twimg.com/profile_images/928961043904237573/liI3ki7x.jpg","View")</f>
        <v>View</v>
      </c>
    </row>
    <row r="1815" spans="1:21" ht="51">
      <c r="A1815" s="6">
        <v>43424.899652777778</v>
      </c>
      <c r="B1815" s="7" t="str">
        <f>HYPERLINK("https://twitter.com/MargaSolino","@MargaSolino")</f>
        <v>@MargaSolino</v>
      </c>
      <c r="C1815" s="8" t="s">
        <v>4462</v>
      </c>
      <c r="D1815" s="9" t="s">
        <v>4463</v>
      </c>
      <c r="E1815" s="10" t="str">
        <f>HYPERLINK("https://twitter.com/MargaSolino/status/1064980575331762177","1064980575331762177")</f>
        <v>1064980575331762177</v>
      </c>
      <c r="F1815" s="11" t="s">
        <v>4465</v>
      </c>
      <c r="G1815" s="12"/>
      <c r="H1815" s="12"/>
      <c r="I1815" s="13">
        <v>7</v>
      </c>
      <c r="J1815" s="13">
        <v>8</v>
      </c>
      <c r="K1815" s="14" t="str">
        <f t="shared" ref="K1815:K1817" si="391">HYPERLINK("http://twitter.com/download/android","Twitter for Android")</f>
        <v>Twitter for Android</v>
      </c>
      <c r="L1815" s="13">
        <v>1595</v>
      </c>
      <c r="M1815" s="13">
        <v>1280</v>
      </c>
      <c r="N1815" s="13">
        <v>6</v>
      </c>
      <c r="O1815" s="15"/>
      <c r="P1815" s="6">
        <v>41394.929375</v>
      </c>
      <c r="Q1815" s="16" t="s">
        <v>4466</v>
      </c>
      <c r="R1815" s="17" t="s">
        <v>4467</v>
      </c>
      <c r="S1815" s="12"/>
      <c r="T1815" s="12"/>
      <c r="U1815" s="10" t="str">
        <f>HYPERLINK("https://pbs.twimg.com/profile_images/1063091353591181312/ItV7iT-b.jpg","View")</f>
        <v>View</v>
      </c>
    </row>
    <row r="1816" spans="1:21" ht="40.799999999999997">
      <c r="A1816" s="6">
        <v>43424.898263888885</v>
      </c>
      <c r="B1816" s="7" t="str">
        <f>HYPERLINK("https://twitter.com/CsLPGC","@CsLPGC")</f>
        <v>@CsLPGC</v>
      </c>
      <c r="C1816" s="8" t="s">
        <v>4468</v>
      </c>
      <c r="D1816" s="9" t="s">
        <v>4469</v>
      </c>
      <c r="E1816" s="10" t="str">
        <f>HYPERLINK("https://twitter.com/CsLPGC/status/1064980071994277890","1064980071994277890")</f>
        <v>1064980071994277890</v>
      </c>
      <c r="F1816" s="11" t="s">
        <v>4470</v>
      </c>
      <c r="G1816" s="11" t="s">
        <v>4471</v>
      </c>
      <c r="H1816" s="12"/>
      <c r="I1816" s="13">
        <v>15</v>
      </c>
      <c r="J1816" s="13">
        <v>9</v>
      </c>
      <c r="K1816" s="14" t="str">
        <f t="shared" si="391"/>
        <v>Twitter for Android</v>
      </c>
      <c r="L1816" s="13">
        <v>1653</v>
      </c>
      <c r="M1816" s="13">
        <v>828</v>
      </c>
      <c r="N1816" s="13">
        <v>31</v>
      </c>
      <c r="O1816" s="15"/>
      <c r="P1816" s="6">
        <v>42103.846932870365</v>
      </c>
      <c r="Q1816" s="12"/>
      <c r="R1816" s="17" t="s">
        <v>4472</v>
      </c>
      <c r="S1816" s="12"/>
      <c r="T1816" s="12"/>
      <c r="U1816" s="10" t="str">
        <f>HYPERLINK("https://pbs.twimg.com/profile_images/883649411389239297/fbfI164W.jpg","View")</f>
        <v>View</v>
      </c>
    </row>
    <row r="1817" spans="1:21" ht="61.2">
      <c r="A1817" s="6">
        <v>43424.898055555561</v>
      </c>
      <c r="B1817" s="7" t="str">
        <f>HYPERLINK("https://twitter.com/Wirapuro","@Wirapuro")</f>
        <v>@Wirapuro</v>
      </c>
      <c r="C1817" s="8" t="s">
        <v>4474</v>
      </c>
      <c r="D1817" s="9" t="s">
        <v>4475</v>
      </c>
      <c r="E1817" s="10" t="str">
        <f>HYPERLINK("https://twitter.com/Wirapuro/status/1064979995972562945","1064979995972562945")</f>
        <v>1064979995972562945</v>
      </c>
      <c r="F1817" s="11" t="s">
        <v>4313</v>
      </c>
      <c r="G1817" s="11" t="s">
        <v>4314</v>
      </c>
      <c r="H1817" s="12"/>
      <c r="I1817" s="13">
        <v>8</v>
      </c>
      <c r="J1817" s="13">
        <v>17</v>
      </c>
      <c r="K1817" s="14" t="str">
        <f t="shared" si="391"/>
        <v>Twitter for Android</v>
      </c>
      <c r="L1817" s="13">
        <v>74</v>
      </c>
      <c r="M1817" s="13">
        <v>278</v>
      </c>
      <c r="N1817" s="13">
        <v>0</v>
      </c>
      <c r="O1817" s="15"/>
      <c r="P1817" s="6">
        <v>42999.887187500004</v>
      </c>
      <c r="Q1817" s="12"/>
      <c r="R1817" s="17" t="s">
        <v>4476</v>
      </c>
      <c r="S1817" s="12"/>
      <c r="T1817" s="12"/>
      <c r="U1817" s="10" t="str">
        <f>HYPERLINK("https://pbs.twimg.com/profile_images/910955587923533826/I6tfqnW9.jpg","View")</f>
        <v>View</v>
      </c>
    </row>
    <row r="1818" spans="1:21" ht="51">
      <c r="A1818" s="6">
        <v>43424.897013888884</v>
      </c>
      <c r="B1818" s="7" t="str">
        <f>HYPERLINK("https://twitter.com/Escatxaruta","@Escatxaruta")</f>
        <v>@Escatxaruta</v>
      </c>
      <c r="C1818" s="8" t="s">
        <v>4477</v>
      </c>
      <c r="D1818" s="9" t="s">
        <v>4478</v>
      </c>
      <c r="E1818" s="10" t="str">
        <f>HYPERLINK("https://twitter.com/Escatxaruta/status/1064979618875228161","1064979618875228161")</f>
        <v>1064979618875228161</v>
      </c>
      <c r="F1818" s="12"/>
      <c r="G1818" s="12"/>
      <c r="H1818" s="12"/>
      <c r="I1818" s="13">
        <v>1</v>
      </c>
      <c r="J1818" s="13">
        <v>1</v>
      </c>
      <c r="K1818" s="14" t="str">
        <f>HYPERLINK("http://twitter.com","Twitter Web Client")</f>
        <v>Twitter Web Client</v>
      </c>
      <c r="L1818" s="13">
        <v>708</v>
      </c>
      <c r="M1818" s="13">
        <v>965</v>
      </c>
      <c r="N1818" s="13">
        <v>9</v>
      </c>
      <c r="O1818" s="15"/>
      <c r="P1818" s="6">
        <v>40649.096967592595</v>
      </c>
      <c r="Q1818" s="12"/>
      <c r="R1818" s="17" t="s">
        <v>4479</v>
      </c>
      <c r="S1818" s="12"/>
      <c r="T1818" s="12"/>
      <c r="U1818" s="10" t="str">
        <f>HYPERLINK("https://pbs.twimg.com/profile_images/665849013720207360/mP73qaN_.jpg","View")</f>
        <v>View</v>
      </c>
    </row>
    <row r="1819" spans="1:21" ht="30.6">
      <c r="A1819" s="6">
        <v>43424.896851851852</v>
      </c>
      <c r="B1819" s="7" t="str">
        <f>HYPERLINK("https://twitter.com/Prats1Prats","@Prats1Prats")</f>
        <v>@Prats1Prats</v>
      </c>
      <c r="C1819" s="8" t="s">
        <v>7125</v>
      </c>
      <c r="D1819" s="9" t="s">
        <v>7126</v>
      </c>
      <c r="E1819" s="10" t="str">
        <f>HYPERLINK("https://twitter.com/Prats1Prats/status/1064979563636318209","1064979563636318209")</f>
        <v>1064979563636318209</v>
      </c>
      <c r="F1819" s="12"/>
      <c r="G1819" s="12"/>
      <c r="H1819" s="12"/>
      <c r="I1819" s="13">
        <v>0</v>
      </c>
      <c r="J1819" s="13">
        <v>0</v>
      </c>
      <c r="K1819" s="14" t="str">
        <f t="shared" ref="K1819:K1821" si="392">HYPERLINK("http://twitter.com/download/iphone","Twitter for iPhone")</f>
        <v>Twitter for iPhone</v>
      </c>
      <c r="L1819" s="13">
        <v>71</v>
      </c>
      <c r="M1819" s="13">
        <v>61</v>
      </c>
      <c r="N1819" s="13">
        <v>7</v>
      </c>
      <c r="O1819" s="15"/>
      <c r="P1819" s="6">
        <v>40698.325254629628</v>
      </c>
      <c r="Q1819" s="12"/>
      <c r="R1819" s="17" t="s">
        <v>7127</v>
      </c>
      <c r="S1819" s="12"/>
      <c r="T1819" s="12"/>
      <c r="U1819" s="10" t="str">
        <f>HYPERLINK("https://pbs.twimg.com/profile_images/1018801776433168385/Ryk-LyWa.jpg","View")</f>
        <v>View</v>
      </c>
    </row>
    <row r="1820" spans="1:21" ht="51">
      <c r="A1820" s="6">
        <v>43424.896851851852</v>
      </c>
      <c r="B1820" s="7" t="str">
        <f>HYPERLINK("https://twitter.com/Cs_ElPaso","@Cs_ElPaso")</f>
        <v>@Cs_ElPaso</v>
      </c>
      <c r="C1820" s="8" t="s">
        <v>4480</v>
      </c>
      <c r="D1820" s="9" t="s">
        <v>4455</v>
      </c>
      <c r="E1820" s="10" t="str">
        <f>HYPERLINK("https://twitter.com/Cs_ElPaso/status/1064979560104632321","1064979560104632321")</f>
        <v>1064979560104632321</v>
      </c>
      <c r="F1820" s="12"/>
      <c r="G1820" s="11" t="s">
        <v>4481</v>
      </c>
      <c r="H1820" s="12"/>
      <c r="I1820" s="13">
        <v>0</v>
      </c>
      <c r="J1820" s="13">
        <v>0</v>
      </c>
      <c r="K1820" s="14" t="str">
        <f t="shared" si="392"/>
        <v>Twitter for iPhone</v>
      </c>
      <c r="L1820" s="13">
        <v>32</v>
      </c>
      <c r="M1820" s="13">
        <v>30</v>
      </c>
      <c r="N1820" s="13">
        <v>1</v>
      </c>
      <c r="O1820" s="15"/>
      <c r="P1820" s="6">
        <v>43287.537349537037</v>
      </c>
      <c r="Q1820" s="16" t="s">
        <v>4482</v>
      </c>
      <c r="R1820" s="17" t="s">
        <v>4483</v>
      </c>
      <c r="S1820" s="11" t="s">
        <v>346</v>
      </c>
      <c r="T1820" s="12"/>
      <c r="U1820" s="10" t="str">
        <f>HYPERLINK("https://pbs.twimg.com/profile_images/1015187383057309700/J2nfB640.jpg","View")</f>
        <v>View</v>
      </c>
    </row>
    <row r="1821" spans="1:21" ht="30.6">
      <c r="A1821" s="6">
        <v>43424.896643518514</v>
      </c>
      <c r="B1821" s="7" t="str">
        <f>HYPERLINK("https://twitter.com/Bassel2426","@Bassel2426")</f>
        <v>@Bassel2426</v>
      </c>
      <c r="C1821" s="8" t="s">
        <v>5139</v>
      </c>
      <c r="D1821" s="9" t="s">
        <v>7128</v>
      </c>
      <c r="E1821" s="10" t="str">
        <f>HYPERLINK("https://twitter.com/Bassel2426/status/1064979488075915264","1064979488075915264")</f>
        <v>1064979488075915264</v>
      </c>
      <c r="F1821" s="12"/>
      <c r="G1821" s="12"/>
      <c r="H1821" s="12"/>
      <c r="I1821" s="13">
        <v>0</v>
      </c>
      <c r="J1821" s="13">
        <v>1</v>
      </c>
      <c r="K1821" s="14" t="str">
        <f t="shared" si="392"/>
        <v>Twitter for iPhone</v>
      </c>
      <c r="L1821" s="13">
        <v>5052</v>
      </c>
      <c r="M1821" s="13">
        <v>1618</v>
      </c>
      <c r="N1821" s="13">
        <v>34</v>
      </c>
      <c r="O1821" s="15"/>
      <c r="P1821" s="6">
        <v>42503.686620370368</v>
      </c>
      <c r="Q1821" s="16" t="s">
        <v>5143</v>
      </c>
      <c r="R1821" s="17" t="s">
        <v>5144</v>
      </c>
      <c r="S1821" s="12"/>
      <c r="T1821" s="12"/>
      <c r="U1821" s="10" t="str">
        <f>HYPERLINK("https://pbs.twimg.com/profile_images/991631132545421312/9ni8uZhU.jpg","View")</f>
        <v>View</v>
      </c>
    </row>
    <row r="1822" spans="1:21" ht="40.799999999999997">
      <c r="A1822" s="6">
        <v>43424.896527777775</v>
      </c>
      <c r="B1822" s="7" t="str">
        <f>HYPERLINK("https://twitter.com/elnacionalcat_e","@elnacionalcat_e")</f>
        <v>@elnacionalcat_e</v>
      </c>
      <c r="C1822" s="8" t="s">
        <v>1368</v>
      </c>
      <c r="D1822" s="9" t="s">
        <v>4484</v>
      </c>
      <c r="E1822" s="10" t="str">
        <f>HYPERLINK("https://twitter.com/elnacionalcat_e/status/1064979443654057985","1064979443654057985")</f>
        <v>1064979443654057985</v>
      </c>
      <c r="F1822" s="11" t="s">
        <v>4487</v>
      </c>
      <c r="G1822" s="12"/>
      <c r="H1822" s="12"/>
      <c r="I1822" s="13">
        <v>1</v>
      </c>
      <c r="J1822" s="13">
        <v>1</v>
      </c>
      <c r="K1822" s="14" t="str">
        <f t="shared" ref="K1822:K1823" si="393">HYPERLINK("https://about.twitter.com/products/tweetdeck","TweetDeck")</f>
        <v>TweetDeck</v>
      </c>
      <c r="L1822" s="13">
        <v>5489</v>
      </c>
      <c r="M1822" s="13">
        <v>355</v>
      </c>
      <c r="N1822" s="13">
        <v>167</v>
      </c>
      <c r="O1822" s="15"/>
      <c r="P1822" s="6">
        <v>42247.840567129635</v>
      </c>
      <c r="Q1822" s="16" t="s">
        <v>421</v>
      </c>
      <c r="R1822" s="17" t="s">
        <v>1374</v>
      </c>
      <c r="S1822" s="11" t="s">
        <v>1375</v>
      </c>
      <c r="T1822" s="12"/>
      <c r="U1822" s="10" t="str">
        <f>HYPERLINK("https://pbs.twimg.com/profile_images/646298514385960960/VEutSP7L.png","View")</f>
        <v>View</v>
      </c>
    </row>
    <row r="1823" spans="1:21" ht="40.799999999999997">
      <c r="A1823" s="6">
        <v>43424.896493055552</v>
      </c>
      <c r="B1823" s="7" t="str">
        <f>HYPERLINK("https://twitter.com/Nefertrip","@Nefertrip")</f>
        <v>@Nefertrip</v>
      </c>
      <c r="C1823" s="8" t="s">
        <v>7129</v>
      </c>
      <c r="D1823" s="9" t="s">
        <v>7130</v>
      </c>
      <c r="E1823" s="10" t="str">
        <f>HYPERLINK("https://twitter.com/Nefertrip/status/1064979433176616960","1064979433176616960")</f>
        <v>1064979433176616960</v>
      </c>
      <c r="F1823" s="12"/>
      <c r="G1823" s="12"/>
      <c r="H1823" s="12"/>
      <c r="I1823" s="13">
        <v>0</v>
      </c>
      <c r="J1823" s="13">
        <v>1</v>
      </c>
      <c r="K1823" s="14" t="str">
        <f t="shared" si="393"/>
        <v>TweetDeck</v>
      </c>
      <c r="L1823" s="13">
        <v>554</v>
      </c>
      <c r="M1823" s="13">
        <v>302</v>
      </c>
      <c r="N1823" s="13">
        <v>26</v>
      </c>
      <c r="O1823" s="15"/>
      <c r="P1823" s="6">
        <v>40377.530092592591</v>
      </c>
      <c r="Q1823" s="16" t="s">
        <v>7131</v>
      </c>
      <c r="R1823" s="17" t="s">
        <v>7132</v>
      </c>
      <c r="S1823" s="12"/>
      <c r="T1823" s="12"/>
      <c r="U1823" s="10" t="str">
        <f>HYPERLINK("https://pbs.twimg.com/profile_images/1015548306636857344/-nEe7w31.jpg","View")</f>
        <v>View</v>
      </c>
    </row>
    <row r="1824" spans="1:21" ht="61.2">
      <c r="A1824" s="6">
        <v>43424.896226851852</v>
      </c>
      <c r="B1824" s="7" t="str">
        <f>HYPERLINK("https://twitter.com/Rober_Alcaz","@Rober_Alcaz")</f>
        <v>@Rober_Alcaz</v>
      </c>
      <c r="C1824" s="8" t="s">
        <v>4493</v>
      </c>
      <c r="D1824" s="9" t="s">
        <v>4494</v>
      </c>
      <c r="E1824" s="10" t="str">
        <f>HYPERLINK("https://twitter.com/Rober_Alcaz/status/1064979336816705536","1064979336816705536")</f>
        <v>1064979336816705536</v>
      </c>
      <c r="F1824" s="12"/>
      <c r="G1824" s="11" t="s">
        <v>4495</v>
      </c>
      <c r="H1824" s="12"/>
      <c r="I1824" s="13">
        <v>0</v>
      </c>
      <c r="J1824" s="13">
        <v>1</v>
      </c>
      <c r="K1824" s="14" t="str">
        <f>HYPERLINK("http://twitter.com","Twitter Web Client")</f>
        <v>Twitter Web Client</v>
      </c>
      <c r="L1824" s="13">
        <v>1139</v>
      </c>
      <c r="M1824" s="13">
        <v>1166</v>
      </c>
      <c r="N1824" s="13">
        <v>9</v>
      </c>
      <c r="O1824" s="15"/>
      <c r="P1824" s="6">
        <v>42700.788993055554</v>
      </c>
      <c r="Q1824" s="12"/>
      <c r="R1824" s="17" t="s">
        <v>4497</v>
      </c>
      <c r="S1824" s="12"/>
      <c r="T1824" s="12"/>
      <c r="U1824" s="10" t="str">
        <f>HYPERLINK("https://pbs.twimg.com/profile_images/804448079604809728/z4q3NnYD.jpg","View")</f>
        <v>View</v>
      </c>
    </row>
    <row r="1825" spans="1:21" ht="51">
      <c r="A1825" s="6">
        <v>43424.895995370374</v>
      </c>
      <c r="B1825" s="7" t="str">
        <f>HYPERLINK("https://twitter.com/OlgaPalahi","@OlgaPalahi")</f>
        <v>@OlgaPalahi</v>
      </c>
      <c r="C1825" s="8" t="s">
        <v>4500</v>
      </c>
      <c r="D1825" s="9" t="s">
        <v>4478</v>
      </c>
      <c r="E1825" s="10" t="str">
        <f>HYPERLINK("https://twitter.com/OlgaPalahi/status/1064979250086903810","1064979250086903810")</f>
        <v>1064979250086903810</v>
      </c>
      <c r="F1825" s="12"/>
      <c r="G1825" s="12"/>
      <c r="H1825" s="12"/>
      <c r="I1825" s="13">
        <v>0</v>
      </c>
      <c r="J1825" s="13">
        <v>2</v>
      </c>
      <c r="K1825" s="14" t="str">
        <f>HYPERLINK("http://twitter.com/download/android","Twitter for Android")</f>
        <v>Twitter for Android</v>
      </c>
      <c r="L1825" s="13">
        <v>1230</v>
      </c>
      <c r="M1825" s="13">
        <v>1454</v>
      </c>
      <c r="N1825" s="13">
        <v>32</v>
      </c>
      <c r="O1825" s="15"/>
      <c r="P1825" s="6">
        <v>40994.561828703707</v>
      </c>
      <c r="Q1825" s="16" t="s">
        <v>4501</v>
      </c>
      <c r="R1825" s="17" t="s">
        <v>4502</v>
      </c>
      <c r="S1825" s="12"/>
      <c r="T1825" s="12"/>
      <c r="U1825" s="10" t="str">
        <f>HYPERLINK("https://pbs.twimg.com/profile_images/935111623836164096/Rwdglt3A.jpg","View")</f>
        <v>View</v>
      </c>
    </row>
    <row r="1826" spans="1:21" ht="40.799999999999997">
      <c r="A1826" s="6">
        <v>43424.895833333328</v>
      </c>
      <c r="B1826" s="7" t="str">
        <f>HYPERLINK("https://twitter.com/elnacionalcat","@elnacionalcat")</f>
        <v>@elnacionalcat</v>
      </c>
      <c r="C1826" s="8" t="s">
        <v>1368</v>
      </c>
      <c r="D1826" s="9" t="s">
        <v>4506</v>
      </c>
      <c r="E1826" s="10" t="str">
        <f>HYPERLINK("https://twitter.com/elnacionalcat/status/1064979194428432391","1064979194428432391")</f>
        <v>1064979194428432391</v>
      </c>
      <c r="F1826" s="11" t="s">
        <v>4508</v>
      </c>
      <c r="G1826" s="12"/>
      <c r="H1826" s="12"/>
      <c r="I1826" s="13">
        <v>11</v>
      </c>
      <c r="J1826" s="13">
        <v>2</v>
      </c>
      <c r="K1826" s="14" t="str">
        <f>HYPERLINK("https://about.twitter.com/products/tweetdeck","TweetDeck")</f>
        <v>TweetDeck</v>
      </c>
      <c r="L1826" s="13">
        <v>103212</v>
      </c>
      <c r="M1826" s="13">
        <v>572</v>
      </c>
      <c r="N1826" s="13">
        <v>1179</v>
      </c>
      <c r="O1826" s="18" t="s">
        <v>36</v>
      </c>
      <c r="P1826" s="6">
        <v>42198.950173611112</v>
      </c>
      <c r="Q1826" s="12"/>
      <c r="R1826" s="17" t="s">
        <v>4511</v>
      </c>
      <c r="S1826" s="11" t="s">
        <v>4512</v>
      </c>
      <c r="T1826" s="12"/>
      <c r="U1826" s="10" t="str">
        <f>HYPERLINK("https://pbs.twimg.com/profile_images/641344204510138368/KnuPd5Hi.png","View")</f>
        <v>View</v>
      </c>
    </row>
    <row r="1827" spans="1:21" ht="40.799999999999997">
      <c r="A1827" s="6">
        <v>43424.893113425926</v>
      </c>
      <c r="B1827" s="7" t="str">
        <f>HYPERLINK("https://twitter.com/CsCanarias","@CsCanarias")</f>
        <v>@CsCanarias</v>
      </c>
      <c r="C1827" s="8" t="s">
        <v>4513</v>
      </c>
      <c r="D1827" s="9" t="s">
        <v>4514</v>
      </c>
      <c r="E1827" s="10" t="str">
        <f>HYPERLINK("https://twitter.com/CsCanarias/status/1064978208163065857","1064978208163065857")</f>
        <v>1064978208163065857</v>
      </c>
      <c r="F1827" s="12"/>
      <c r="G1827" s="11" t="s">
        <v>4515</v>
      </c>
      <c r="H1827" s="12"/>
      <c r="I1827" s="13">
        <v>35</v>
      </c>
      <c r="J1827" s="13">
        <v>38</v>
      </c>
      <c r="K1827" s="14" t="str">
        <f>HYPERLINK("https://studio.twitter.com","Media Studio")</f>
        <v>Media Studio</v>
      </c>
      <c r="L1827" s="13">
        <v>6019</v>
      </c>
      <c r="M1827" s="13">
        <v>1914</v>
      </c>
      <c r="N1827" s="13">
        <v>127</v>
      </c>
      <c r="O1827" s="18" t="s">
        <v>36</v>
      </c>
      <c r="P1827" s="6">
        <v>41717.69872685185</v>
      </c>
      <c r="Q1827" s="16" t="s">
        <v>4517</v>
      </c>
      <c r="R1827" s="17" t="s">
        <v>4519</v>
      </c>
      <c r="S1827" s="11" t="s">
        <v>664</v>
      </c>
      <c r="T1827" s="12"/>
      <c r="U1827" s="10" t="str">
        <f>HYPERLINK("https://pbs.twimg.com/profile_images/1053380947650007041/1GQgoCCJ.png","View")</f>
        <v>View</v>
      </c>
    </row>
    <row r="1828" spans="1:21" ht="30.6">
      <c r="A1828" s="6">
        <v>43424.893009259264</v>
      </c>
      <c r="B1828" s="7" t="str">
        <f>HYPERLINK("https://twitter.com/angelpa34173307","@angelpa34173307")</f>
        <v>@angelpa34173307</v>
      </c>
      <c r="C1828" s="8" t="s">
        <v>4522</v>
      </c>
      <c r="D1828" s="9" t="s">
        <v>4523</v>
      </c>
      <c r="E1828" s="10" t="str">
        <f>HYPERLINK("https://twitter.com/angelpa34173307/status/1064978167809695745","1064978167809695745")</f>
        <v>1064978167809695745</v>
      </c>
      <c r="F1828" s="12"/>
      <c r="G1828" s="12"/>
      <c r="H1828" s="12"/>
      <c r="I1828" s="13">
        <v>0</v>
      </c>
      <c r="J1828" s="13">
        <v>0</v>
      </c>
      <c r="K1828" s="14" t="str">
        <f t="shared" ref="K1828:K1829" si="394">HYPERLINK("http://twitter.com","Twitter Web Client")</f>
        <v>Twitter Web Client</v>
      </c>
      <c r="L1828" s="13">
        <v>1215</v>
      </c>
      <c r="M1828" s="13">
        <v>3653</v>
      </c>
      <c r="N1828" s="13">
        <v>0</v>
      </c>
      <c r="O1828" s="15"/>
      <c r="P1828" s="6">
        <v>42627.592094907406</v>
      </c>
      <c r="Q1828" s="16" t="s">
        <v>207</v>
      </c>
      <c r="R1828" s="17" t="s">
        <v>4524</v>
      </c>
      <c r="S1828" s="11" t="s">
        <v>4525</v>
      </c>
      <c r="T1828" s="12"/>
      <c r="U1828" s="10" t="str">
        <f>HYPERLINK("https://pbs.twimg.com/profile_images/987787754099572739/phECM9s8.jpg","View")</f>
        <v>View</v>
      </c>
    </row>
    <row r="1829" spans="1:21" ht="40.799999999999997">
      <c r="A1829" s="6">
        <v>43424.892766203702</v>
      </c>
      <c r="B1829" s="7" t="str">
        <f>HYPERLINK("https://twitter.com/CsCanarias","@CsCanarias")</f>
        <v>@CsCanarias</v>
      </c>
      <c r="C1829" s="8" t="s">
        <v>4513</v>
      </c>
      <c r="D1829" s="9" t="s">
        <v>4526</v>
      </c>
      <c r="E1829" s="10" t="str">
        <f>HYPERLINK("https://twitter.com/CsCanarias/status/1064978079645347841","1064978079645347841")</f>
        <v>1064978079645347841</v>
      </c>
      <c r="F1829" s="12"/>
      <c r="G1829" s="11" t="s">
        <v>4527</v>
      </c>
      <c r="H1829" s="12"/>
      <c r="I1829" s="13">
        <v>3</v>
      </c>
      <c r="J1829" s="13">
        <v>3</v>
      </c>
      <c r="K1829" s="14" t="str">
        <f t="shared" si="394"/>
        <v>Twitter Web Client</v>
      </c>
      <c r="L1829" s="13">
        <v>6019</v>
      </c>
      <c r="M1829" s="13">
        <v>1914</v>
      </c>
      <c r="N1829" s="13">
        <v>127</v>
      </c>
      <c r="O1829" s="18" t="s">
        <v>36</v>
      </c>
      <c r="P1829" s="6">
        <v>41717.69872685185</v>
      </c>
      <c r="Q1829" s="16" t="s">
        <v>4517</v>
      </c>
      <c r="R1829" s="17" t="s">
        <v>4519</v>
      </c>
      <c r="S1829" s="11" t="s">
        <v>664</v>
      </c>
      <c r="T1829" s="12"/>
      <c r="U1829" s="10" t="str">
        <f>HYPERLINK("https://pbs.twimg.com/profile_images/1053380947650007041/1GQgoCCJ.png","View")</f>
        <v>View</v>
      </c>
    </row>
    <row r="1830" spans="1:21" ht="40.799999999999997">
      <c r="A1830" s="6">
        <v>43424.892523148148</v>
      </c>
      <c r="B1830" s="7" t="str">
        <f>HYPERLINK("https://twitter.com/kasqass","@kasqass")</f>
        <v>@kasqass</v>
      </c>
      <c r="C1830" s="8" t="s">
        <v>4529</v>
      </c>
      <c r="D1830" s="9" t="s">
        <v>4530</v>
      </c>
      <c r="E1830" s="10" t="str">
        <f>HYPERLINK("https://twitter.com/kasqass/status/1064977993045553153","1064977993045553153")</f>
        <v>1064977993045553153</v>
      </c>
      <c r="F1830" s="12"/>
      <c r="G1830" s="12"/>
      <c r="H1830" s="12"/>
      <c r="I1830" s="13">
        <v>0</v>
      </c>
      <c r="J1830" s="13">
        <v>0</v>
      </c>
      <c r="K1830" s="14" t="str">
        <f>HYPERLINK("http://twitter.com/download/android","Twitter for Android")</f>
        <v>Twitter for Android</v>
      </c>
      <c r="L1830" s="13">
        <v>730</v>
      </c>
      <c r="M1830" s="13">
        <v>2195</v>
      </c>
      <c r="N1830" s="13">
        <v>18</v>
      </c>
      <c r="O1830" s="15"/>
      <c r="P1830" s="6">
        <v>41188.023877314816</v>
      </c>
      <c r="Q1830" s="12"/>
      <c r="R1830" s="19"/>
      <c r="S1830" s="12"/>
      <c r="T1830" s="12"/>
      <c r="U1830" s="10" t="str">
        <f>HYPERLINK("https://pbs.twimg.com/profile_images/3062363830/c52f35511bb3c43e984e825911bc7f7e.jpeg","View")</f>
        <v>View</v>
      </c>
    </row>
    <row r="1831" spans="1:21" ht="51">
      <c r="A1831" s="6">
        <v>43424.892025462963</v>
      </c>
      <c r="B1831" s="7" t="str">
        <f>HYPERLINK("https://twitter.com/setisret","@setisret")</f>
        <v>@setisret</v>
      </c>
      <c r="C1831" s="8" t="s">
        <v>4531</v>
      </c>
      <c r="D1831" s="9" t="s">
        <v>4532</v>
      </c>
      <c r="E1831" s="10" t="str">
        <f>HYPERLINK("https://twitter.com/setisret/status/1064977813596450818","1064977813596450818")</f>
        <v>1064977813596450818</v>
      </c>
      <c r="F1831" s="12"/>
      <c r="G1831" s="12"/>
      <c r="H1831" s="12"/>
      <c r="I1831" s="13">
        <v>0</v>
      </c>
      <c r="J1831" s="13">
        <v>0</v>
      </c>
      <c r="K1831" s="14" t="str">
        <f>HYPERLINK("http://twitter.com","Twitter Web Client")</f>
        <v>Twitter Web Client</v>
      </c>
      <c r="L1831" s="13">
        <v>39</v>
      </c>
      <c r="M1831" s="13">
        <v>61</v>
      </c>
      <c r="N1831" s="13">
        <v>0</v>
      </c>
      <c r="O1831" s="15"/>
      <c r="P1831" s="6">
        <v>41831.043449074074</v>
      </c>
      <c r="Q1831" s="16" t="s">
        <v>4533</v>
      </c>
      <c r="R1831" s="17" t="s">
        <v>4534</v>
      </c>
      <c r="S1831" s="12"/>
      <c r="T1831" s="12"/>
      <c r="U1831" s="10" t="str">
        <f>HYPERLINK("https://pbs.twimg.com/profile_images/1022170644480487424/NyIQ8Axj.jpg","View")</f>
        <v>View</v>
      </c>
    </row>
    <row r="1832" spans="1:21" ht="81.599999999999994">
      <c r="A1832" s="6">
        <v>43424.891736111109</v>
      </c>
      <c r="B1832" s="7" t="str">
        <f>HYPERLINK("https://twitter.com/QVEF_Aragon","@QVEF_Aragon")</f>
        <v>@QVEF_Aragon</v>
      </c>
      <c r="C1832" s="8" t="s">
        <v>4535</v>
      </c>
      <c r="D1832" s="9" t="s">
        <v>4536</v>
      </c>
      <c r="E1832" s="10" t="str">
        <f>HYPERLINK("https://twitter.com/QVEF_Aragon/status/1064977706570444800","1064977706570444800")</f>
        <v>1064977706570444800</v>
      </c>
      <c r="F1832" s="11" t="s">
        <v>4537</v>
      </c>
      <c r="G1832" s="11" t="s">
        <v>4538</v>
      </c>
      <c r="H1832" s="12"/>
      <c r="I1832" s="13">
        <v>1</v>
      </c>
      <c r="J1832" s="13">
        <v>2</v>
      </c>
      <c r="K1832" s="14" t="str">
        <f>HYPERLINK("http://twitter.com/download/android","Twitter for Android")</f>
        <v>Twitter for Android</v>
      </c>
      <c r="L1832" s="13">
        <v>557</v>
      </c>
      <c r="M1832" s="13">
        <v>216</v>
      </c>
      <c r="N1832" s="13">
        <v>4</v>
      </c>
      <c r="O1832" s="15"/>
      <c r="P1832" s="6">
        <v>43089.804895833338</v>
      </c>
      <c r="Q1832" s="16" t="s">
        <v>2692</v>
      </c>
      <c r="R1832" s="17" t="s">
        <v>4541</v>
      </c>
      <c r="S1832" s="12"/>
      <c r="T1832" s="12"/>
      <c r="U1832" s="10" t="str">
        <f>HYPERLINK("https://pbs.twimg.com/profile_images/973211920214962177/43IDKOed.jpg","View")</f>
        <v>View</v>
      </c>
    </row>
    <row r="1833" spans="1:21" ht="20.399999999999999">
      <c r="A1833" s="6">
        <v>43424.890509259261</v>
      </c>
      <c r="B1833" s="7" t="str">
        <f>HYPERLINK("https://twitter.com/frandres00","@frandres00")</f>
        <v>@frandres00</v>
      </c>
      <c r="C1833" s="8" t="s">
        <v>7133</v>
      </c>
      <c r="D1833" s="9" t="s">
        <v>7134</v>
      </c>
      <c r="E1833" s="10" t="str">
        <f>HYPERLINK("https://twitter.com/frandres00/status/1064977264482418692","1064977264482418692")</f>
        <v>1064977264482418692</v>
      </c>
      <c r="F1833" s="11" t="s">
        <v>7135</v>
      </c>
      <c r="G1833" s="12"/>
      <c r="H1833" s="12"/>
      <c r="I1833" s="13">
        <v>0</v>
      </c>
      <c r="J1833" s="13">
        <v>0</v>
      </c>
      <c r="K1833" s="14" t="str">
        <f t="shared" ref="K1833:K1834" si="395">HYPERLINK("https://www.google.com/","Google")</f>
        <v>Google</v>
      </c>
      <c r="L1833" s="13">
        <v>156</v>
      </c>
      <c r="M1833" s="13">
        <v>41</v>
      </c>
      <c r="N1833" s="13">
        <v>12</v>
      </c>
      <c r="O1833" s="15"/>
      <c r="P1833" s="6">
        <v>40964.336782407408</v>
      </c>
      <c r="Q1833" s="12"/>
      <c r="R1833" s="17" t="s">
        <v>7136</v>
      </c>
      <c r="S1833" s="12"/>
      <c r="T1833" s="12"/>
      <c r="U1833" s="10" t="str">
        <f>HYPERLINK("https://pbs.twimg.com/profile_images/860948798834712577/FdJVzwFF.jpg","View")</f>
        <v>View</v>
      </c>
    </row>
    <row r="1834" spans="1:21" ht="40.799999999999997">
      <c r="A1834" s="6">
        <v>43424.889780092592</v>
      </c>
      <c r="B1834" s="7" t="str">
        <f>HYPERLINK("https://twitter.com/SweetieLove_098","@SweetieLove_098")</f>
        <v>@SweetieLove_098</v>
      </c>
      <c r="C1834" s="8" t="s">
        <v>7137</v>
      </c>
      <c r="D1834" s="9" t="s">
        <v>7138</v>
      </c>
      <c r="E1834" s="10" t="str">
        <f>HYPERLINK("https://twitter.com/SweetieLove_098/status/1064976997292625921","1064976997292625921")</f>
        <v>1064976997292625921</v>
      </c>
      <c r="F1834" s="11" t="s">
        <v>7139</v>
      </c>
      <c r="G1834" s="12"/>
      <c r="H1834" s="12"/>
      <c r="I1834" s="13">
        <v>0</v>
      </c>
      <c r="J1834" s="13">
        <v>0</v>
      </c>
      <c r="K1834" s="14" t="str">
        <f t="shared" si="395"/>
        <v>Google</v>
      </c>
      <c r="L1834" s="13">
        <v>767</v>
      </c>
      <c r="M1834" s="13">
        <v>3796</v>
      </c>
      <c r="N1834" s="13">
        <v>5</v>
      </c>
      <c r="O1834" s="15"/>
      <c r="P1834" s="6">
        <v>41140.908819444448</v>
      </c>
      <c r="Q1834" s="16" t="s">
        <v>6625</v>
      </c>
      <c r="R1834" s="17" t="s">
        <v>7140</v>
      </c>
      <c r="S1834" s="11" t="s">
        <v>7141</v>
      </c>
      <c r="T1834" s="12"/>
      <c r="U1834" s="10" t="str">
        <f>HYPERLINK("https://pbs.twimg.com/profile_images/909199199543185408/wEOatXxG.jpg","View")</f>
        <v>View</v>
      </c>
    </row>
    <row r="1835" spans="1:21" ht="71.400000000000006">
      <c r="A1835" s="6">
        <v>43424.889432870375</v>
      </c>
      <c r="B1835" s="7" t="str">
        <f>HYPERLINK("https://twitter.com/Keridamadrastra","@Keridamadrastra")</f>
        <v>@Keridamadrastra</v>
      </c>
      <c r="C1835" s="8" t="s">
        <v>1931</v>
      </c>
      <c r="D1835" s="9" t="s">
        <v>4550</v>
      </c>
      <c r="E1835" s="10" t="str">
        <f>HYPERLINK("https://twitter.com/Keridamadrastra/status/1064976872675713025","1064976872675713025")</f>
        <v>1064976872675713025</v>
      </c>
      <c r="F1835" s="11" t="s">
        <v>4553</v>
      </c>
      <c r="G1835" s="11" t="s">
        <v>4554</v>
      </c>
      <c r="H1835" s="12"/>
      <c r="I1835" s="13">
        <v>3</v>
      </c>
      <c r="J1835" s="13">
        <v>6</v>
      </c>
      <c r="K1835" s="14" t="str">
        <f>HYPERLINK("http://twitter.com/download/android","Twitter for Android")</f>
        <v>Twitter for Android</v>
      </c>
      <c r="L1835" s="13">
        <v>260</v>
      </c>
      <c r="M1835" s="13">
        <v>1407</v>
      </c>
      <c r="N1835" s="13">
        <v>0</v>
      </c>
      <c r="O1835" s="15"/>
      <c r="P1835" s="6">
        <v>42725.514004629629</v>
      </c>
      <c r="Q1835" s="12"/>
      <c r="R1835" s="19"/>
      <c r="S1835" s="12"/>
      <c r="T1835" s="12"/>
      <c r="U1835" s="10" t="str">
        <f>HYPERLINK("https://pbs.twimg.com/profile_images/811542389248630784/-euSetq6.jpg","View")</f>
        <v>View</v>
      </c>
    </row>
    <row r="1836" spans="1:21" ht="40.799999999999997">
      <c r="A1836" s="6">
        <v>43424.888298611113</v>
      </c>
      <c r="B1836" s="7" t="str">
        <f>HYPERLINK("https://twitter.com/CsCadiz_Prov","@CsCadiz_Prov")</f>
        <v>@CsCadiz_Prov</v>
      </c>
      <c r="C1836" s="8" t="s">
        <v>4556</v>
      </c>
      <c r="D1836" s="9" t="s">
        <v>4557</v>
      </c>
      <c r="E1836" s="10" t="str">
        <f>HYPERLINK("https://twitter.com/CsCadiz_Prov/status/1064976460673425409","1064976460673425409")</f>
        <v>1064976460673425409</v>
      </c>
      <c r="F1836" s="12"/>
      <c r="G1836" s="11" t="s">
        <v>4558</v>
      </c>
      <c r="H1836" s="12"/>
      <c r="I1836" s="13">
        <v>15</v>
      </c>
      <c r="J1836" s="13">
        <v>12</v>
      </c>
      <c r="K1836" s="14" t="str">
        <f>HYPERLINK("http://twitter.com/download/iphone","Twitter for iPhone")</f>
        <v>Twitter for iPhone</v>
      </c>
      <c r="L1836" s="13">
        <v>4139</v>
      </c>
      <c r="M1836" s="13">
        <v>859</v>
      </c>
      <c r="N1836" s="13">
        <v>42</v>
      </c>
      <c r="O1836" s="15"/>
      <c r="P1836" s="6">
        <v>41901.483078703706</v>
      </c>
      <c r="Q1836" s="16" t="s">
        <v>2499</v>
      </c>
      <c r="R1836" s="17" t="s">
        <v>4559</v>
      </c>
      <c r="S1836" s="11" t="s">
        <v>4560</v>
      </c>
      <c r="T1836" s="12"/>
      <c r="U1836" s="10" t="str">
        <f>HYPERLINK("https://pbs.twimg.com/profile_images/1058680988191076353/IbhnszK2.jpg","View")</f>
        <v>View</v>
      </c>
    </row>
    <row r="1837" spans="1:21" ht="20.399999999999999">
      <c r="A1837" s="6">
        <v>43424.888229166667</v>
      </c>
      <c r="B1837" s="7" t="str">
        <f>HYPERLINK("https://twitter.com/fizfiz77","@fizfiz77")</f>
        <v>@fizfiz77</v>
      </c>
      <c r="C1837" s="8" t="s">
        <v>4561</v>
      </c>
      <c r="D1837" s="9" t="s">
        <v>4562</v>
      </c>
      <c r="E1837" s="10" t="str">
        <f>HYPERLINK("https://twitter.com/fizfiz77/status/1064976435117469699","1064976435117469699")</f>
        <v>1064976435117469699</v>
      </c>
      <c r="F1837" s="12"/>
      <c r="G1837" s="12"/>
      <c r="H1837" s="12"/>
      <c r="I1837" s="13">
        <v>0</v>
      </c>
      <c r="J1837" s="13">
        <v>0</v>
      </c>
      <c r="K1837" s="14" t="str">
        <f>HYPERLINK("http://twitter.com/download/android","Twitter for Android")</f>
        <v>Twitter for Android</v>
      </c>
      <c r="L1837" s="13">
        <v>217</v>
      </c>
      <c r="M1837" s="13">
        <v>831</v>
      </c>
      <c r="N1837" s="13">
        <v>6</v>
      </c>
      <c r="O1837" s="15"/>
      <c r="P1837" s="6">
        <v>40841.762696759259</v>
      </c>
      <c r="Q1837" s="16" t="s">
        <v>37</v>
      </c>
      <c r="R1837" s="19"/>
      <c r="S1837" s="12"/>
      <c r="T1837" s="12"/>
      <c r="U1837" s="10" t="str">
        <f>HYPERLINK("https://pbs.twimg.com/profile_images/1058769604514930688/w14HZG7r.jpg","View")</f>
        <v>View</v>
      </c>
    </row>
    <row r="1838" spans="1:21" ht="20.399999999999999">
      <c r="A1838" s="6">
        <v>43424.888043981482</v>
      </c>
      <c r="B1838" s="7" t="str">
        <f>HYPERLINK("https://twitter.com/InmaculadaPilar","@InmaculadaPilar")</f>
        <v>@InmaculadaPilar</v>
      </c>
      <c r="C1838" s="8" t="s">
        <v>7142</v>
      </c>
      <c r="D1838" s="9" t="s">
        <v>6991</v>
      </c>
      <c r="E1838" s="10" t="str">
        <f>HYPERLINK("https://twitter.com/InmaculadaPilar/status/1064976369304694790","1064976369304694790")</f>
        <v>1064976369304694790</v>
      </c>
      <c r="F1838" s="11" t="s">
        <v>4887</v>
      </c>
      <c r="G1838" s="12"/>
      <c r="H1838" s="12"/>
      <c r="I1838" s="13">
        <v>0</v>
      </c>
      <c r="J1838" s="13">
        <v>0</v>
      </c>
      <c r="K1838" s="14" t="str">
        <f>HYPERLINK("http://twitter.com","Twitter Web Client")</f>
        <v>Twitter Web Client</v>
      </c>
      <c r="L1838" s="13">
        <v>93</v>
      </c>
      <c r="M1838" s="13">
        <v>155</v>
      </c>
      <c r="N1838" s="13">
        <v>1</v>
      </c>
      <c r="O1838" s="15"/>
      <c r="P1838" s="6">
        <v>41925.400254629625</v>
      </c>
      <c r="Q1838" s="16" t="s">
        <v>4178</v>
      </c>
      <c r="R1838" s="17" t="s">
        <v>7143</v>
      </c>
      <c r="S1838" s="12"/>
      <c r="T1838" s="12"/>
      <c r="U1838" s="10" t="str">
        <f>HYPERLINK("https://pbs.twimg.com/profile_images/1064191512240685057/srgX1exD.jpg","View")</f>
        <v>View</v>
      </c>
    </row>
    <row r="1839" spans="1:21" ht="51">
      <c r="A1839" s="6">
        <v>43424.887789351851</v>
      </c>
      <c r="B1839" s="7" t="str">
        <f>HYPERLINK("https://twitter.com/sumam057","@sumam057")</f>
        <v>@sumam057</v>
      </c>
      <c r="C1839" s="8" t="s">
        <v>7144</v>
      </c>
      <c r="D1839" s="9" t="s">
        <v>7145</v>
      </c>
      <c r="E1839" s="10" t="str">
        <f>HYPERLINK("https://twitter.com/sumam057/status/1064976277847855106","1064976277847855106")</f>
        <v>1064976277847855106</v>
      </c>
      <c r="F1839" s="12"/>
      <c r="G1839" s="12"/>
      <c r="H1839" s="12"/>
      <c r="I1839" s="13">
        <v>0</v>
      </c>
      <c r="J1839" s="13">
        <v>0</v>
      </c>
      <c r="K1839" s="14" t="str">
        <f>HYPERLINK("http://twitter.com/download/iphone","Twitter for iPhone")</f>
        <v>Twitter for iPhone</v>
      </c>
      <c r="L1839" s="13">
        <v>54</v>
      </c>
      <c r="M1839" s="13">
        <v>116</v>
      </c>
      <c r="N1839" s="13">
        <v>2</v>
      </c>
      <c r="O1839" s="15"/>
      <c r="P1839" s="6">
        <v>42425.55868055555</v>
      </c>
      <c r="Q1839" s="16" t="s">
        <v>75</v>
      </c>
      <c r="R1839" s="17" t="s">
        <v>7146</v>
      </c>
      <c r="S1839" s="12"/>
      <c r="T1839" s="12"/>
      <c r="U1839" s="10" t="str">
        <f>HYPERLINK("https://pbs.twimg.com/profile_images/1047724674220789760/y2bww6f8.jpg","View")</f>
        <v>View</v>
      </c>
    </row>
    <row r="1840" spans="1:21" ht="40.799999999999997">
      <c r="A1840" s="6">
        <v>43424.887604166666</v>
      </c>
      <c r="B1840" s="7" t="str">
        <f>HYPERLINK("https://twitter.com/JackoCabrera","@JackoCabrera")</f>
        <v>@JackoCabrera</v>
      </c>
      <c r="C1840" s="8" t="s">
        <v>4563</v>
      </c>
      <c r="D1840" s="9" t="s">
        <v>4564</v>
      </c>
      <c r="E1840" s="10" t="str">
        <f>HYPERLINK("https://twitter.com/JackoCabrera/status/1064976211674361857","1064976211674361857")</f>
        <v>1064976211674361857</v>
      </c>
      <c r="F1840" s="12"/>
      <c r="G1840" s="12"/>
      <c r="H1840" s="12"/>
      <c r="I1840" s="13">
        <v>0</v>
      </c>
      <c r="J1840" s="13">
        <v>0</v>
      </c>
      <c r="K1840" s="14" t="str">
        <f t="shared" ref="K1840:K1841" si="396">HYPERLINK("http://twitter.com/download/android","Twitter for Android")</f>
        <v>Twitter for Android</v>
      </c>
      <c r="L1840" s="13">
        <v>176</v>
      </c>
      <c r="M1840" s="13">
        <v>567</v>
      </c>
      <c r="N1840" s="13">
        <v>6</v>
      </c>
      <c r="O1840" s="15"/>
      <c r="P1840" s="6">
        <v>39957.657291666663</v>
      </c>
      <c r="Q1840" s="16" t="s">
        <v>4565</v>
      </c>
      <c r="R1840" s="17" t="s">
        <v>4566</v>
      </c>
      <c r="S1840" s="12"/>
      <c r="T1840" s="12"/>
      <c r="U1840" s="10" t="str">
        <f>HYPERLINK("https://pbs.twimg.com/profile_images/931291817290747905/e2TTJhzD.jpg","View")</f>
        <v>View</v>
      </c>
    </row>
    <row r="1841" spans="1:21" ht="30.6">
      <c r="A1841" s="6">
        <v>43424.886446759258</v>
      </c>
      <c r="B1841" s="7" t="str">
        <f>HYPERLINK("https://twitter.com/pallaron12","@pallaron12")</f>
        <v>@pallaron12</v>
      </c>
      <c r="C1841" s="8" t="s">
        <v>4898</v>
      </c>
      <c r="D1841" s="9" t="s">
        <v>4899</v>
      </c>
      <c r="E1841" s="10" t="str">
        <f>HYPERLINK("https://twitter.com/pallaron12/status/1064975791287689216","1064975791287689216")</f>
        <v>1064975791287689216</v>
      </c>
      <c r="F1841" s="11" t="s">
        <v>4901</v>
      </c>
      <c r="G1841" s="12"/>
      <c r="H1841" s="12"/>
      <c r="I1841" s="13">
        <v>0</v>
      </c>
      <c r="J1841" s="13">
        <v>0</v>
      </c>
      <c r="K1841" s="14" t="str">
        <f t="shared" si="396"/>
        <v>Twitter for Android</v>
      </c>
      <c r="L1841" s="13">
        <v>1412</v>
      </c>
      <c r="M1841" s="13">
        <v>501</v>
      </c>
      <c r="N1841" s="13">
        <v>8</v>
      </c>
      <c r="O1841" s="15"/>
      <c r="P1841" s="6">
        <v>41854.66134259259</v>
      </c>
      <c r="Q1841" s="16" t="s">
        <v>4903</v>
      </c>
      <c r="R1841" s="17" t="s">
        <v>4904</v>
      </c>
      <c r="S1841" s="12"/>
      <c r="T1841" s="12"/>
      <c r="U1841" s="10" t="str">
        <f>HYPERLINK("https://pbs.twimg.com/profile_images/1064713832633896961/NkwZ7D9D.jpg","View")</f>
        <v>View</v>
      </c>
    </row>
    <row r="1842" spans="1:21" ht="40.799999999999997">
      <c r="A1842" s="6">
        <v>43424.886076388888</v>
      </c>
      <c r="B1842" s="7" t="str">
        <f>HYPERLINK("https://twitter.com/elfary74","@elfary74")</f>
        <v>@elfary74</v>
      </c>
      <c r="C1842" s="8" t="s">
        <v>4567</v>
      </c>
      <c r="D1842" s="9" t="s">
        <v>4568</v>
      </c>
      <c r="E1842" s="10" t="str">
        <f>HYPERLINK("https://twitter.com/elfary74/status/1064975657510293509","1064975657510293509")</f>
        <v>1064975657510293509</v>
      </c>
      <c r="F1842" s="12"/>
      <c r="G1842" s="12"/>
      <c r="H1842" s="12"/>
      <c r="I1842" s="13">
        <v>0</v>
      </c>
      <c r="J1842" s="13">
        <v>0</v>
      </c>
      <c r="K1842" s="14" t="str">
        <f>HYPERLINK("http://twitter.com/#!/download/ipad","Twitter for iPad")</f>
        <v>Twitter for iPad</v>
      </c>
      <c r="L1842" s="13">
        <v>189</v>
      </c>
      <c r="M1842" s="13">
        <v>297</v>
      </c>
      <c r="N1842" s="13">
        <v>3</v>
      </c>
      <c r="O1842" s="15"/>
      <c r="P1842" s="6">
        <v>40008.400127314817</v>
      </c>
      <c r="Q1842" s="16" t="s">
        <v>496</v>
      </c>
      <c r="R1842" s="17" t="s">
        <v>4569</v>
      </c>
      <c r="S1842" s="12"/>
      <c r="T1842" s="12"/>
      <c r="U1842" s="10" t="str">
        <f>HYPERLINK("https://pbs.twimg.com/profile_images/1047549534539276288/6RsyeDiZ.jpg","View")</f>
        <v>View</v>
      </c>
    </row>
    <row r="1843" spans="1:21" ht="40.799999999999997">
      <c r="A1843" s="6">
        <v>43424.885787037041</v>
      </c>
      <c r="B1843" s="7" t="str">
        <f>HYPERLINK("https://twitter.com/eriknv88","@eriknv88")</f>
        <v>@eriknv88</v>
      </c>
      <c r="C1843" s="8" t="s">
        <v>4574</v>
      </c>
      <c r="D1843" s="9" t="s">
        <v>4575</v>
      </c>
      <c r="E1843" s="10" t="str">
        <f>HYPERLINK("https://twitter.com/eriknv88/status/1064975550157082625","1064975550157082625")</f>
        <v>1064975550157082625</v>
      </c>
      <c r="F1843" s="12"/>
      <c r="G1843" s="12"/>
      <c r="H1843" s="12"/>
      <c r="I1843" s="13">
        <v>0</v>
      </c>
      <c r="J1843" s="13">
        <v>4</v>
      </c>
      <c r="K1843" s="14" t="str">
        <f>HYPERLINK("http://twitter.com/download/android","Twitter for Android")</f>
        <v>Twitter for Android</v>
      </c>
      <c r="L1843" s="13">
        <v>727</v>
      </c>
      <c r="M1843" s="13">
        <v>863</v>
      </c>
      <c r="N1843" s="13">
        <v>1</v>
      </c>
      <c r="O1843" s="15"/>
      <c r="P1843" s="6">
        <v>43409.916145833333</v>
      </c>
      <c r="Q1843" s="16" t="s">
        <v>37</v>
      </c>
      <c r="R1843" s="17" t="s">
        <v>4576</v>
      </c>
      <c r="S1843" s="12"/>
      <c r="T1843" s="12"/>
      <c r="U1843" s="10" t="str">
        <f>HYPERLINK("https://pbs.twimg.com/profile_images/1059767327724576769/lXfD6s_N.jpg","View")</f>
        <v>View</v>
      </c>
    </row>
    <row r="1844" spans="1:21" ht="40.799999999999997">
      <c r="A1844" s="6">
        <v>43424.885578703703</v>
      </c>
      <c r="B1844" s="7" t="str">
        <f>HYPERLINK("https://twitter.com/diazj353","@diazj353")</f>
        <v>@diazj353</v>
      </c>
      <c r="C1844" s="8" t="s">
        <v>1760</v>
      </c>
      <c r="D1844" s="9" t="s">
        <v>4577</v>
      </c>
      <c r="E1844" s="10" t="str">
        <f>HYPERLINK("https://twitter.com/diazj353/status/1064975474638635008","1064975474638635008")</f>
        <v>1064975474638635008</v>
      </c>
      <c r="F1844" s="12"/>
      <c r="G1844" s="12"/>
      <c r="H1844" s="12"/>
      <c r="I1844" s="13">
        <v>0</v>
      </c>
      <c r="J1844" s="13">
        <v>0</v>
      </c>
      <c r="K1844" s="14" t="str">
        <f>HYPERLINK("http://twitter.com","Twitter Web Client")</f>
        <v>Twitter Web Client</v>
      </c>
      <c r="L1844" s="13">
        <v>644</v>
      </c>
      <c r="M1844" s="13">
        <v>1325</v>
      </c>
      <c r="N1844" s="13">
        <v>5</v>
      </c>
      <c r="O1844" s="15"/>
      <c r="P1844" s="6">
        <v>41173.655694444446</v>
      </c>
      <c r="Q1844" s="16" t="s">
        <v>1762</v>
      </c>
      <c r="R1844" s="17" t="s">
        <v>1763</v>
      </c>
      <c r="S1844" s="11" t="s">
        <v>1764</v>
      </c>
      <c r="T1844" s="12"/>
      <c r="U1844" s="10" t="str">
        <f>HYPERLINK("https://pbs.twimg.com/profile_images/681445263014293504/lN1lcXVn.jpg","View")</f>
        <v>View</v>
      </c>
    </row>
    <row r="1845" spans="1:21" ht="20.399999999999999">
      <c r="A1845" s="6">
        <v>43424.885243055556</v>
      </c>
      <c r="B1845" s="7" t="str">
        <f>HYPERLINK("https://twitter.com/NoeCuki","@NoeCuki")</f>
        <v>@NoeCuki</v>
      </c>
      <c r="C1845" s="8" t="s">
        <v>7147</v>
      </c>
      <c r="D1845" s="9" t="s">
        <v>7148</v>
      </c>
      <c r="E1845" s="10" t="str">
        <f>HYPERLINK("https://twitter.com/NoeCuki/status/1064975353226190848","1064975353226190848")</f>
        <v>1064975353226190848</v>
      </c>
      <c r="F1845" s="12"/>
      <c r="G1845" s="12"/>
      <c r="H1845" s="12"/>
      <c r="I1845" s="13">
        <v>0</v>
      </c>
      <c r="J1845" s="13">
        <v>2</v>
      </c>
      <c r="K1845" s="14" t="str">
        <f>HYPERLINK("http://twitter.com/download/iphone","Twitter for iPhone")</f>
        <v>Twitter for iPhone</v>
      </c>
      <c r="L1845" s="13">
        <v>367</v>
      </c>
      <c r="M1845" s="13">
        <v>350</v>
      </c>
      <c r="N1845" s="13">
        <v>1</v>
      </c>
      <c r="O1845" s="15"/>
      <c r="P1845" s="6">
        <v>40656.71434027778</v>
      </c>
      <c r="Q1845" s="16" t="s">
        <v>1460</v>
      </c>
      <c r="R1845" s="17" t="s">
        <v>7149</v>
      </c>
      <c r="S1845" s="12"/>
      <c r="T1845" s="12"/>
      <c r="U1845" s="10" t="str">
        <f>HYPERLINK("https://pbs.twimg.com/profile_images/1033632732042199042/Vv6vfUKY.jpg","View")</f>
        <v>View</v>
      </c>
    </row>
    <row r="1846" spans="1:21" ht="61.2">
      <c r="A1846" s="6">
        <v>43424.885023148148</v>
      </c>
      <c r="B1846" s="7" t="str">
        <f>HYPERLINK("https://twitter.com/JubeirC","@JubeirC")</f>
        <v>@JubeirC</v>
      </c>
      <c r="C1846" s="8" t="s">
        <v>4578</v>
      </c>
      <c r="D1846" s="9" t="s">
        <v>4579</v>
      </c>
      <c r="E1846" s="10" t="str">
        <f>HYPERLINK("https://twitter.com/JubeirC/status/1064975273479864321","1064975273479864321")</f>
        <v>1064975273479864321</v>
      </c>
      <c r="F1846" s="12"/>
      <c r="G1846" s="11" t="s">
        <v>4580</v>
      </c>
      <c r="H1846" s="12"/>
      <c r="I1846" s="13">
        <v>0</v>
      </c>
      <c r="J1846" s="13">
        <v>1</v>
      </c>
      <c r="K1846" s="14" t="str">
        <f t="shared" ref="K1846:K1850" si="397">HYPERLINK("http://twitter.com/download/android","Twitter for Android")</f>
        <v>Twitter for Android</v>
      </c>
      <c r="L1846" s="13">
        <v>70</v>
      </c>
      <c r="M1846" s="13">
        <v>182</v>
      </c>
      <c r="N1846" s="13">
        <v>0</v>
      </c>
      <c r="O1846" s="15"/>
      <c r="P1846" s="6">
        <v>43418.45893518519</v>
      </c>
      <c r="Q1846" s="16" t="s">
        <v>118</v>
      </c>
      <c r="R1846" s="17" t="s">
        <v>4583</v>
      </c>
      <c r="S1846" s="12"/>
      <c r="T1846" s="12"/>
      <c r="U1846" s="10" t="str">
        <f>HYPERLINK("https://pbs.twimg.com/profile_images/1062652018391769088/3bCwwZzq.jpg","View")</f>
        <v>View</v>
      </c>
    </row>
    <row r="1847" spans="1:21" ht="30.6">
      <c r="A1847" s="6">
        <v>43424.885011574079</v>
      </c>
      <c r="B1847" s="7" t="str">
        <f>HYPERLINK("https://twitter.com/coldecastro","@coldecastro")</f>
        <v>@coldecastro</v>
      </c>
      <c r="C1847" s="8" t="s">
        <v>4586</v>
      </c>
      <c r="D1847" s="9" t="s">
        <v>4587</v>
      </c>
      <c r="E1847" s="10" t="str">
        <f>HYPERLINK("https://twitter.com/coldecastro/status/1064975271533662208","1064975271533662208")</f>
        <v>1064975271533662208</v>
      </c>
      <c r="F1847" s="12"/>
      <c r="G1847" s="12"/>
      <c r="H1847" s="12"/>
      <c r="I1847" s="13">
        <v>0</v>
      </c>
      <c r="J1847" s="13">
        <v>1</v>
      </c>
      <c r="K1847" s="14" t="str">
        <f t="shared" si="397"/>
        <v>Twitter for Android</v>
      </c>
      <c r="L1847" s="13">
        <v>342</v>
      </c>
      <c r="M1847" s="13">
        <v>457</v>
      </c>
      <c r="N1847" s="13">
        <v>12</v>
      </c>
      <c r="O1847" s="15"/>
      <c r="P1847" s="6">
        <v>42407.904687499999</v>
      </c>
      <c r="Q1847" s="16" t="s">
        <v>366</v>
      </c>
      <c r="R1847" s="17" t="s">
        <v>4588</v>
      </c>
      <c r="S1847" s="12"/>
      <c r="T1847" s="12"/>
      <c r="U1847" s="10" t="str">
        <f>HYPERLINK("https://pbs.twimg.com/profile_images/1014393376324636673/hvd-zlDr.jpg","View")</f>
        <v>View</v>
      </c>
    </row>
    <row r="1848" spans="1:21" ht="51">
      <c r="A1848" s="6">
        <v>43424.884525462963</v>
      </c>
      <c r="B1848" s="7" t="str">
        <f>HYPERLINK("https://twitter.com/Marialucascoca","@Marialucascoca")</f>
        <v>@Marialucascoca</v>
      </c>
      <c r="C1848" s="8" t="s">
        <v>7150</v>
      </c>
      <c r="D1848" s="9" t="s">
        <v>7151</v>
      </c>
      <c r="E1848" s="10" t="str">
        <f>HYPERLINK("https://twitter.com/Marialucascoca/status/1064975094865375232","1064975094865375232")</f>
        <v>1064975094865375232</v>
      </c>
      <c r="F1848" s="12"/>
      <c r="G1848" s="12"/>
      <c r="H1848" s="12"/>
      <c r="I1848" s="13">
        <v>0</v>
      </c>
      <c r="J1848" s="13">
        <v>0</v>
      </c>
      <c r="K1848" s="14" t="str">
        <f t="shared" si="397"/>
        <v>Twitter for Android</v>
      </c>
      <c r="L1848" s="13">
        <v>940</v>
      </c>
      <c r="M1848" s="13">
        <v>1667</v>
      </c>
      <c r="N1848" s="13">
        <v>4</v>
      </c>
      <c r="O1848" s="15"/>
      <c r="P1848" s="6">
        <v>42993.000046296293</v>
      </c>
      <c r="Q1848" s="12"/>
      <c r="R1848" s="17" t="s">
        <v>7152</v>
      </c>
      <c r="S1848" s="12"/>
      <c r="T1848" s="12"/>
      <c r="U1848" s="10" t="str">
        <f>HYPERLINK("https://pbs.twimg.com/profile_images/908781440913076224/JX0EtWFY.jpg","View")</f>
        <v>View</v>
      </c>
    </row>
    <row r="1849" spans="1:21" ht="71.400000000000006">
      <c r="A1849" s="6">
        <v>43424.88449074074</v>
      </c>
      <c r="B1849" s="7" t="str">
        <f>HYPERLINK("https://twitter.com/jaimebp23111","@jaimebp23111")</f>
        <v>@jaimebp23111</v>
      </c>
      <c r="C1849" s="8" t="s">
        <v>7153</v>
      </c>
      <c r="D1849" s="9" t="s">
        <v>7154</v>
      </c>
      <c r="E1849" s="10" t="str">
        <f>HYPERLINK("https://twitter.com/jaimebp23111/status/1064975082970333189","1064975082970333189")</f>
        <v>1064975082970333189</v>
      </c>
      <c r="F1849" s="11" t="s">
        <v>2769</v>
      </c>
      <c r="G1849" s="11" t="s">
        <v>2770</v>
      </c>
      <c r="H1849" s="12"/>
      <c r="I1849" s="13">
        <v>1</v>
      </c>
      <c r="J1849" s="13">
        <v>1</v>
      </c>
      <c r="K1849" s="14" t="str">
        <f t="shared" si="397"/>
        <v>Twitter for Android</v>
      </c>
      <c r="L1849" s="13">
        <v>126</v>
      </c>
      <c r="M1849" s="13">
        <v>478</v>
      </c>
      <c r="N1849" s="13">
        <v>0</v>
      </c>
      <c r="O1849" s="15"/>
      <c r="P1849" s="6">
        <v>42406.770891203705</v>
      </c>
      <c r="Q1849" s="16" t="s">
        <v>7155</v>
      </c>
      <c r="R1849" s="27" t="s">
        <v>7156</v>
      </c>
      <c r="S1849" s="12"/>
      <c r="T1849" s="12"/>
      <c r="U1849" s="10" t="str">
        <f>HYPERLINK("https://pbs.twimg.com/profile_images/1031244739897683968/UKCvjiwd.jpg","View")</f>
        <v>View</v>
      </c>
    </row>
    <row r="1850" spans="1:21" ht="20.399999999999999">
      <c r="A1850" s="6">
        <v>43424.884317129632</v>
      </c>
      <c r="B1850" s="7" t="str">
        <f>HYPERLINK("https://twitter.com/david_pepon","@david_pepon")</f>
        <v>@david_pepon</v>
      </c>
      <c r="C1850" s="8" t="s">
        <v>7157</v>
      </c>
      <c r="D1850" s="9" t="s">
        <v>7158</v>
      </c>
      <c r="E1850" s="10" t="str">
        <f>HYPERLINK("https://twitter.com/david_pepon/status/1064975019732885505","1064975019732885505")</f>
        <v>1064975019732885505</v>
      </c>
      <c r="F1850" s="12"/>
      <c r="G1850" s="12"/>
      <c r="H1850" s="12"/>
      <c r="I1850" s="13">
        <v>0</v>
      </c>
      <c r="J1850" s="13">
        <v>0</v>
      </c>
      <c r="K1850" s="14" t="str">
        <f t="shared" si="397"/>
        <v>Twitter for Android</v>
      </c>
      <c r="L1850" s="13">
        <v>618</v>
      </c>
      <c r="M1850" s="13">
        <v>1393</v>
      </c>
      <c r="N1850" s="13">
        <v>8</v>
      </c>
      <c r="O1850" s="15"/>
      <c r="P1850" s="6">
        <v>40613.624236111107</v>
      </c>
      <c r="Q1850" s="16" t="s">
        <v>7159</v>
      </c>
      <c r="R1850" s="19"/>
      <c r="S1850" s="12"/>
      <c r="T1850" s="12"/>
      <c r="U1850" s="10" t="str">
        <f>HYPERLINK("https://pbs.twimg.com/profile_images/935590714506870784/uLJea8c1.jpg","View")</f>
        <v>View</v>
      </c>
    </row>
    <row r="1851" spans="1:21" ht="40.799999999999997">
      <c r="A1851" s="6">
        <v>43424.88380787037</v>
      </c>
      <c r="B1851" s="7" t="str">
        <f>HYPERLINK("https://twitter.com/IsidorMari","@IsidorMari")</f>
        <v>@IsidorMari</v>
      </c>
      <c r="C1851" s="8" t="s">
        <v>7160</v>
      </c>
      <c r="D1851" s="9" t="s">
        <v>7161</v>
      </c>
      <c r="E1851" s="10" t="str">
        <f>HYPERLINK("https://twitter.com/IsidorMari/status/1064974833753251847","1064974833753251847")</f>
        <v>1064974833753251847</v>
      </c>
      <c r="F1851" s="12"/>
      <c r="G1851" s="12"/>
      <c r="H1851" s="12"/>
      <c r="I1851" s="13">
        <v>3</v>
      </c>
      <c r="J1851" s="13">
        <v>3</v>
      </c>
      <c r="K1851" s="14" t="str">
        <f t="shared" ref="K1851:K1852" si="398">HYPERLINK("http://twitter.com/download/iphone","Twitter for iPhone")</f>
        <v>Twitter for iPhone</v>
      </c>
      <c r="L1851" s="13">
        <v>4463</v>
      </c>
      <c r="M1851" s="13">
        <v>362</v>
      </c>
      <c r="N1851" s="13">
        <v>73</v>
      </c>
      <c r="O1851" s="15"/>
      <c r="P1851" s="6">
        <v>41104.735393518517</v>
      </c>
      <c r="Q1851" s="12"/>
      <c r="R1851" s="17" t="s">
        <v>7162</v>
      </c>
      <c r="S1851" s="12"/>
      <c r="T1851" s="12"/>
      <c r="U1851" s="10" t="str">
        <f>HYPERLINK("https://pbs.twimg.com/profile_images/935611639751114752/UQbzM1_0.jpg","View")</f>
        <v>View</v>
      </c>
    </row>
    <row r="1852" spans="1:21" ht="20.399999999999999">
      <c r="A1852" s="6">
        <v>43424.883773148147</v>
      </c>
      <c r="B1852" s="7" t="str">
        <f>HYPERLINK("https://twitter.com/nie1983rr","@nie1983rr")</f>
        <v>@nie1983rr</v>
      </c>
      <c r="C1852" s="8" t="s">
        <v>7163</v>
      </c>
      <c r="D1852" s="9" t="s">
        <v>7164</v>
      </c>
      <c r="E1852" s="10" t="str">
        <f>HYPERLINK("https://twitter.com/nie1983rr/status/1064974820989968384","1064974820989968384")</f>
        <v>1064974820989968384</v>
      </c>
      <c r="F1852" s="12"/>
      <c r="G1852" s="12"/>
      <c r="H1852" s="12"/>
      <c r="I1852" s="13">
        <v>0</v>
      </c>
      <c r="J1852" s="13">
        <v>0</v>
      </c>
      <c r="K1852" s="14" t="str">
        <f t="shared" si="398"/>
        <v>Twitter for iPhone</v>
      </c>
      <c r="L1852" s="13">
        <v>177</v>
      </c>
      <c r="M1852" s="13">
        <v>171</v>
      </c>
      <c r="N1852" s="13">
        <v>4</v>
      </c>
      <c r="O1852" s="15"/>
      <c r="P1852" s="6">
        <v>42210.766388888893</v>
      </c>
      <c r="Q1852" s="16" t="s">
        <v>118</v>
      </c>
      <c r="R1852" s="17" t="s">
        <v>7165</v>
      </c>
      <c r="S1852" s="11" t="s">
        <v>7166</v>
      </c>
      <c r="T1852" s="12"/>
      <c r="U1852" s="10" t="str">
        <f>HYPERLINK("https://pbs.twimg.com/profile_images/968876637566758912/gR7XypGp.jpg","View")</f>
        <v>View</v>
      </c>
    </row>
    <row r="1853" spans="1:21" ht="40.799999999999997">
      <c r="A1853" s="6">
        <v>43424.883587962962</v>
      </c>
      <c r="B1853" s="7" t="str">
        <f>HYPERLINK("https://twitter.com/GBCLopi","@GBCLopi")</f>
        <v>@GBCLopi</v>
      </c>
      <c r="C1853" s="8" t="s">
        <v>7167</v>
      </c>
      <c r="D1853" s="9" t="s">
        <v>7168</v>
      </c>
      <c r="E1853" s="10" t="str">
        <f>HYPERLINK("https://twitter.com/GBCLopi/status/1064974755684597761","1064974755684597761")</f>
        <v>1064974755684597761</v>
      </c>
      <c r="F1853" s="12"/>
      <c r="G1853" s="12"/>
      <c r="H1853" s="12"/>
      <c r="I1853" s="13">
        <v>0</v>
      </c>
      <c r="J1853" s="13">
        <v>0</v>
      </c>
      <c r="K1853" s="14" t="str">
        <f>HYPERLINK("http://twitter.com/download/android","Twitter for Android")</f>
        <v>Twitter for Android</v>
      </c>
      <c r="L1853" s="13">
        <v>296</v>
      </c>
      <c r="M1853" s="13">
        <v>264</v>
      </c>
      <c r="N1853" s="13">
        <v>8</v>
      </c>
      <c r="O1853" s="15"/>
      <c r="P1853" s="6">
        <v>40572.538761574076</v>
      </c>
      <c r="Q1853" s="16" t="s">
        <v>6325</v>
      </c>
      <c r="R1853" s="17" t="s">
        <v>7169</v>
      </c>
      <c r="S1853" s="12"/>
      <c r="T1853" s="12"/>
      <c r="U1853" s="10" t="str">
        <f>HYPERLINK("https://pbs.twimg.com/profile_images/378800000553609082/7a07f85e9e59c55f89ea1b801b061508.jpeg","View")</f>
        <v>View</v>
      </c>
    </row>
    <row r="1854" spans="1:21" ht="40.799999999999997">
      <c r="A1854" s="6">
        <v>43424.882951388892</v>
      </c>
      <c r="B1854" s="7" t="str">
        <f>HYPERLINK("https://twitter.com/DanielRamirez99","@DanielRamirez99")</f>
        <v>@DanielRamirez99</v>
      </c>
      <c r="C1854" s="8" t="s">
        <v>4589</v>
      </c>
      <c r="D1854" s="9" t="s">
        <v>4590</v>
      </c>
      <c r="E1854" s="10" t="str">
        <f>HYPERLINK("https://twitter.com/DanielRamirez99/status/1064974524637167617","1064974524637167617")</f>
        <v>1064974524637167617</v>
      </c>
      <c r="F1854" s="11" t="s">
        <v>4591</v>
      </c>
      <c r="G1854" s="12"/>
      <c r="H1854" s="12"/>
      <c r="I1854" s="13">
        <v>0</v>
      </c>
      <c r="J1854" s="13">
        <v>1</v>
      </c>
      <c r="K1854" s="14" t="str">
        <f>HYPERLINK("http://twitter.com","Twitter Web Client")</f>
        <v>Twitter Web Client</v>
      </c>
      <c r="L1854" s="13">
        <v>2433</v>
      </c>
      <c r="M1854" s="13">
        <v>696</v>
      </c>
      <c r="N1854" s="13">
        <v>60</v>
      </c>
      <c r="O1854" s="15"/>
      <c r="P1854" s="6">
        <v>40428.677858796298</v>
      </c>
      <c r="Q1854" s="16" t="s">
        <v>4594</v>
      </c>
      <c r="R1854" s="17" t="s">
        <v>4595</v>
      </c>
      <c r="S1854" s="11" t="s">
        <v>4596</v>
      </c>
      <c r="T1854" s="12"/>
      <c r="U1854" s="10" t="str">
        <f>HYPERLINK("https://pbs.twimg.com/profile_images/999632968166473729/y02lRuOl.jpg","View")</f>
        <v>View</v>
      </c>
    </row>
    <row r="1855" spans="1:21" ht="20.399999999999999">
      <c r="A1855" s="6">
        <v>43424.882361111115</v>
      </c>
      <c r="B1855" s="7" t="str">
        <f>HYPERLINK("https://twitter.com/ManuelaSesIlles","@ManuelaSesIlles")</f>
        <v>@ManuelaSesIlles</v>
      </c>
      <c r="C1855" s="8" t="s">
        <v>4599</v>
      </c>
      <c r="D1855" s="9" t="s">
        <v>4600</v>
      </c>
      <c r="E1855" s="10" t="str">
        <f>HYPERLINK("https://twitter.com/ManuelaSesIlles/status/1064974309905571841","1064974309905571841")</f>
        <v>1064974309905571841</v>
      </c>
      <c r="F1855" s="11" t="s">
        <v>4603</v>
      </c>
      <c r="G1855" s="12"/>
      <c r="H1855" s="12"/>
      <c r="I1855" s="13">
        <v>2</v>
      </c>
      <c r="J1855" s="13">
        <v>2</v>
      </c>
      <c r="K1855" s="14" t="str">
        <f>HYPERLINK("http://twitter.com/download/android","Twitter for Android")</f>
        <v>Twitter for Android</v>
      </c>
      <c r="L1855" s="13">
        <v>2608</v>
      </c>
      <c r="M1855" s="13">
        <v>2706</v>
      </c>
      <c r="N1855" s="13">
        <v>4</v>
      </c>
      <c r="O1855" s="15"/>
      <c r="P1855" s="6">
        <v>43144.485266203701</v>
      </c>
      <c r="Q1855" s="16" t="s">
        <v>37</v>
      </c>
      <c r="R1855" s="17" t="s">
        <v>4606</v>
      </c>
      <c r="S1855" s="12"/>
      <c r="T1855" s="12"/>
      <c r="U1855" s="10" t="str">
        <f>HYPERLINK("https://pbs.twimg.com/profile_images/963501201219293184/N6-kNIJe.jpg","View")</f>
        <v>View</v>
      </c>
    </row>
    <row r="1856" spans="1:21" ht="30.6">
      <c r="A1856" s="6">
        <v>43424.881944444445</v>
      </c>
      <c r="B1856" s="7" t="str">
        <f>HYPERLINK("https://twitter.com/Cs_Tenerife","@Cs_Tenerife")</f>
        <v>@Cs_Tenerife</v>
      </c>
      <c r="C1856" s="8" t="s">
        <v>342</v>
      </c>
      <c r="D1856" s="9" t="s">
        <v>4609</v>
      </c>
      <c r="E1856" s="10" t="str">
        <f>HYPERLINK("https://twitter.com/Cs_Tenerife/status/1064974158931681287","1064974158931681287")</f>
        <v>1064974158931681287</v>
      </c>
      <c r="F1856" s="11" t="s">
        <v>4610</v>
      </c>
      <c r="G1856" s="12"/>
      <c r="H1856" s="12"/>
      <c r="I1856" s="13">
        <v>0</v>
      </c>
      <c r="J1856" s="13">
        <v>0</v>
      </c>
      <c r="K1856" s="14" t="str">
        <f>HYPERLINK("https://about.twitter.com/products/tweetdeck","TweetDeck")</f>
        <v>TweetDeck</v>
      </c>
      <c r="L1856" s="13">
        <v>308</v>
      </c>
      <c r="M1856" s="13">
        <v>409</v>
      </c>
      <c r="N1856" s="13">
        <v>2</v>
      </c>
      <c r="O1856" s="15"/>
      <c r="P1856" s="6">
        <v>43006.477256944447</v>
      </c>
      <c r="Q1856" s="16" t="s">
        <v>208</v>
      </c>
      <c r="R1856" s="17" t="s">
        <v>345</v>
      </c>
      <c r="S1856" s="11" t="s">
        <v>346</v>
      </c>
      <c r="T1856" s="12"/>
      <c r="U1856" s="10" t="str">
        <f>HYPERLINK("https://pbs.twimg.com/profile_images/913334716803186688/AFUK2T9e.jpg","View")</f>
        <v>View</v>
      </c>
    </row>
    <row r="1857" spans="1:21" ht="20.399999999999999">
      <c r="A1857" s="6">
        <v>43424.881296296298</v>
      </c>
      <c r="B1857" s="7" t="str">
        <f>HYPERLINK("https://twitter.com/cherif_habadi","@cherif_habadi")</f>
        <v>@cherif_habadi</v>
      </c>
      <c r="C1857" s="8" t="s">
        <v>7170</v>
      </c>
      <c r="D1857" s="9" t="s">
        <v>6472</v>
      </c>
      <c r="E1857" s="10" t="str">
        <f>HYPERLINK("https://twitter.com/cherif_habadi/status/1064973923438215169","1064973923438215169")</f>
        <v>1064973923438215169</v>
      </c>
      <c r="F1857" s="11" t="s">
        <v>7024</v>
      </c>
      <c r="G1857" s="12"/>
      <c r="H1857" s="12"/>
      <c r="I1857" s="13">
        <v>0</v>
      </c>
      <c r="J1857" s="13">
        <v>2</v>
      </c>
      <c r="K1857" s="14" t="str">
        <f t="shared" ref="K1857:K1858" si="399">HYPERLINK("http://twitter.com/download/android","Twitter for Android")</f>
        <v>Twitter for Android</v>
      </c>
      <c r="L1857" s="13">
        <v>226</v>
      </c>
      <c r="M1857" s="13">
        <v>234</v>
      </c>
      <c r="N1857" s="13">
        <v>11</v>
      </c>
      <c r="O1857" s="15"/>
      <c r="P1857" s="6">
        <v>41174.662615740745</v>
      </c>
      <c r="Q1857" s="16" t="s">
        <v>7171</v>
      </c>
      <c r="R1857" s="17" t="s">
        <v>7172</v>
      </c>
      <c r="S1857" s="12"/>
      <c r="T1857" s="12"/>
      <c r="U1857" s="10" t="str">
        <f>HYPERLINK("https://pbs.twimg.com/profile_images/417091174311395328/D15VfTNX.jpeg","View")</f>
        <v>View</v>
      </c>
    </row>
    <row r="1858" spans="1:21" ht="30.6">
      <c r="A1858" s="6">
        <v>43424.881018518514</v>
      </c>
      <c r="B1858" s="7" t="str">
        <f>HYPERLINK("https://twitter.com/Albertodelvalle","@Albertodelvalle")</f>
        <v>@Albertodelvalle</v>
      </c>
      <c r="C1858" s="8" t="s">
        <v>4613</v>
      </c>
      <c r="D1858" s="9" t="s">
        <v>4614</v>
      </c>
      <c r="E1858" s="10" t="str">
        <f>HYPERLINK("https://twitter.com/Albertodelvalle/status/1064973824859480065","1064973824859480065")</f>
        <v>1064973824859480065</v>
      </c>
      <c r="F1858" s="12"/>
      <c r="G1858" s="12"/>
      <c r="H1858" s="12"/>
      <c r="I1858" s="13">
        <v>1</v>
      </c>
      <c r="J1858" s="13">
        <v>0</v>
      </c>
      <c r="K1858" s="14" t="str">
        <f t="shared" si="399"/>
        <v>Twitter for Android</v>
      </c>
      <c r="L1858" s="13">
        <v>5597</v>
      </c>
      <c r="M1858" s="13">
        <v>4441</v>
      </c>
      <c r="N1858" s="13">
        <v>139</v>
      </c>
      <c r="O1858" s="15"/>
      <c r="P1858" s="6">
        <v>39922.88548611111</v>
      </c>
      <c r="Q1858" s="16" t="s">
        <v>759</v>
      </c>
      <c r="R1858" s="17" t="s">
        <v>4615</v>
      </c>
      <c r="S1858" s="12"/>
      <c r="T1858" s="12"/>
      <c r="U1858" s="10" t="str">
        <f>HYPERLINK("https://pbs.twimg.com/profile_images/1035150033392463873/QyMOTtKD.jpg","View")</f>
        <v>View</v>
      </c>
    </row>
    <row r="1859" spans="1:21" ht="40.799999999999997">
      <c r="A1859" s="6">
        <v>43424.880925925929</v>
      </c>
      <c r="B1859" s="7" t="str">
        <f>HYPERLINK("https://twitter.com/Capamix25","@Capamix25")</f>
        <v>@Capamix25</v>
      </c>
      <c r="C1859" s="8" t="s">
        <v>7173</v>
      </c>
      <c r="D1859" s="9" t="s">
        <v>7174</v>
      </c>
      <c r="E1859" s="10" t="str">
        <f>HYPERLINK("https://twitter.com/Capamix25/status/1064973790482960385","1064973790482960385")</f>
        <v>1064973790482960385</v>
      </c>
      <c r="F1859" s="11" t="s">
        <v>7175</v>
      </c>
      <c r="G1859" s="12"/>
      <c r="H1859" s="12"/>
      <c r="I1859" s="13">
        <v>0</v>
      </c>
      <c r="J1859" s="13">
        <v>0</v>
      </c>
      <c r="K1859" s="14" t="str">
        <f t="shared" ref="K1859:K1862" si="400">HYPERLINK("http://twitter.com","Twitter Web Client")</f>
        <v>Twitter Web Client</v>
      </c>
      <c r="L1859" s="13">
        <v>421</v>
      </c>
      <c r="M1859" s="13">
        <v>863</v>
      </c>
      <c r="N1859" s="13">
        <v>9</v>
      </c>
      <c r="O1859" s="15"/>
      <c r="P1859" s="6">
        <v>40224.809571759259</v>
      </c>
      <c r="Q1859" s="16" t="s">
        <v>7176</v>
      </c>
      <c r="R1859" s="17" t="s">
        <v>7177</v>
      </c>
      <c r="S1859" s="12"/>
      <c r="T1859" s="12"/>
      <c r="U1859" s="10" t="str">
        <f>HYPERLINK("https://pbs.twimg.com/profile_images/925342621387587584/6eMLHKeU.jpg","View")</f>
        <v>View</v>
      </c>
    </row>
    <row r="1860" spans="1:21" ht="40.799999999999997">
      <c r="A1860" s="6">
        <v>43424.880497685182</v>
      </c>
      <c r="B1860" s="7" t="str">
        <f>HYPERLINK("https://twitter.com/Peregrina7Bu","@Peregrina7Bu")</f>
        <v>@Peregrina7Bu</v>
      </c>
      <c r="C1860" s="8" t="s">
        <v>7178</v>
      </c>
      <c r="D1860" s="9" t="s">
        <v>6896</v>
      </c>
      <c r="E1860" s="10" t="str">
        <f>HYPERLINK("https://twitter.com/Peregrina7Bu/status/1064973634245206016","1064973634245206016")</f>
        <v>1064973634245206016</v>
      </c>
      <c r="F1860" s="11" t="s">
        <v>5034</v>
      </c>
      <c r="G1860" s="12"/>
      <c r="H1860" s="12"/>
      <c r="I1860" s="13">
        <v>0</v>
      </c>
      <c r="J1860" s="13">
        <v>0</v>
      </c>
      <c r="K1860" s="14" t="str">
        <f t="shared" si="400"/>
        <v>Twitter Web Client</v>
      </c>
      <c r="L1860" s="13">
        <v>126</v>
      </c>
      <c r="M1860" s="13">
        <v>296</v>
      </c>
      <c r="N1860" s="13">
        <v>16</v>
      </c>
      <c r="O1860" s="15"/>
      <c r="P1860" s="6">
        <v>42559.002175925925</v>
      </c>
      <c r="Q1860" s="12"/>
      <c r="R1860" s="17" t="s">
        <v>7179</v>
      </c>
      <c r="S1860" s="12"/>
      <c r="T1860" s="12"/>
      <c r="U1860" s="10" t="str">
        <f>HYPERLINK("https://pbs.twimg.com/profile_images/956673765663965184/onrgyj7Z.jpg","View")</f>
        <v>View</v>
      </c>
    </row>
    <row r="1861" spans="1:21" ht="40.799999999999997">
      <c r="A1861" s="6">
        <v>43424.877511574072</v>
      </c>
      <c r="B1861" s="7" t="str">
        <f>HYPERLINK("https://twitter.com/MongaPrincesa","@MongaPrincesa")</f>
        <v>@MongaPrincesa</v>
      </c>
      <c r="C1861" s="8" t="s">
        <v>7180</v>
      </c>
      <c r="D1861" s="9" t="s">
        <v>7181</v>
      </c>
      <c r="E1861" s="10" t="str">
        <f>HYPERLINK("https://twitter.com/MongaPrincesa/status/1064972553729556481","1064972553729556481")</f>
        <v>1064972553729556481</v>
      </c>
      <c r="F1861" s="12"/>
      <c r="G1861" s="11" t="s">
        <v>7182</v>
      </c>
      <c r="H1861" s="12"/>
      <c r="I1861" s="13">
        <v>2</v>
      </c>
      <c r="J1861" s="13">
        <v>0</v>
      </c>
      <c r="K1861" s="14" t="str">
        <f t="shared" si="400"/>
        <v>Twitter Web Client</v>
      </c>
      <c r="L1861" s="13">
        <v>48</v>
      </c>
      <c r="M1861" s="13">
        <v>26</v>
      </c>
      <c r="N1861" s="13">
        <v>0</v>
      </c>
      <c r="O1861" s="15"/>
      <c r="P1861" s="6">
        <v>43359.845462962963</v>
      </c>
      <c r="Q1861" s="16" t="s">
        <v>7183</v>
      </c>
      <c r="R1861" s="17" t="s">
        <v>7184</v>
      </c>
      <c r="S1861" s="12"/>
      <c r="T1861" s="12"/>
      <c r="U1861" s="10" t="str">
        <f>HYPERLINK("https://pbs.twimg.com/profile_images/1041391045026697218/EHOpGzN0.jpg","View")</f>
        <v>View</v>
      </c>
    </row>
    <row r="1862" spans="1:21" ht="51">
      <c r="A1862" s="6">
        <v>43424.877106481479</v>
      </c>
      <c r="B1862" s="7" t="str">
        <f>HYPERLINK("https://twitter.com/CsCantabria","@CsCantabria")</f>
        <v>@CsCantabria</v>
      </c>
      <c r="C1862" s="8" t="s">
        <v>320</v>
      </c>
      <c r="D1862" s="9" t="s">
        <v>4618</v>
      </c>
      <c r="E1862" s="10" t="str">
        <f>HYPERLINK("https://twitter.com/CsCantabria/status/1064972404500430848","1064972404500430848")</f>
        <v>1064972404500430848</v>
      </c>
      <c r="F1862" s="12"/>
      <c r="G1862" s="11" t="s">
        <v>4620</v>
      </c>
      <c r="H1862" s="12"/>
      <c r="I1862" s="13">
        <v>21</v>
      </c>
      <c r="J1862" s="13">
        <v>18</v>
      </c>
      <c r="K1862" s="14" t="str">
        <f t="shared" si="400"/>
        <v>Twitter Web Client</v>
      </c>
      <c r="L1862" s="13">
        <v>3554</v>
      </c>
      <c r="M1862" s="13">
        <v>328</v>
      </c>
      <c r="N1862" s="13">
        <v>92</v>
      </c>
      <c r="O1862" s="18" t="s">
        <v>36</v>
      </c>
      <c r="P1862" s="6">
        <v>41731.566608796296</v>
      </c>
      <c r="Q1862" s="16" t="s">
        <v>323</v>
      </c>
      <c r="R1862" s="17" t="s">
        <v>324</v>
      </c>
      <c r="S1862" s="11" t="s">
        <v>325</v>
      </c>
      <c r="T1862" s="12"/>
      <c r="U1862" s="10" t="str">
        <f>HYPERLINK("https://pbs.twimg.com/profile_images/1053571729455529984/zfGYdPdw.jpg","View")</f>
        <v>View</v>
      </c>
    </row>
    <row r="1863" spans="1:21" ht="51">
      <c r="A1863" s="6">
        <v>43424.876388888893</v>
      </c>
      <c r="B1863" s="7" t="str">
        <f>HYPERLINK("https://twitter.com/bitMomentum","@bitMomentum")</f>
        <v>@bitMomentum</v>
      </c>
      <c r="C1863" s="8" t="s">
        <v>706</v>
      </c>
      <c r="D1863" s="9" t="s">
        <v>4625</v>
      </c>
      <c r="E1863" s="10" t="str">
        <f>HYPERLINK("https://twitter.com/bitMomentum/status/1064972144579436545","1064972144579436545")</f>
        <v>1064972144579436545</v>
      </c>
      <c r="F1863" s="12"/>
      <c r="G1863" s="12"/>
      <c r="H1863" s="12"/>
      <c r="I1863" s="13">
        <v>0</v>
      </c>
      <c r="J1863" s="13">
        <v>0</v>
      </c>
      <c r="K1863" s="14" t="str">
        <f>HYPERLINK("http://www.bitmomentum.com","bitMomentum Bot")</f>
        <v>bitMomentum Bot</v>
      </c>
      <c r="L1863" s="13">
        <v>10132</v>
      </c>
      <c r="M1863" s="13">
        <v>1060</v>
      </c>
      <c r="N1863" s="13">
        <v>262</v>
      </c>
      <c r="O1863" s="15"/>
      <c r="P1863" s="6">
        <v>41608.667511574073</v>
      </c>
      <c r="Q1863" s="12"/>
      <c r="R1863" s="17" t="s">
        <v>708</v>
      </c>
      <c r="S1863" s="11" t="s">
        <v>709</v>
      </c>
      <c r="T1863" s="12"/>
      <c r="U1863" s="10" t="str">
        <f>HYPERLINK("https://pbs.twimg.com/profile_images/378800000862185241/20ij2H3u.png","View")</f>
        <v>View</v>
      </c>
    </row>
    <row r="1864" spans="1:21" ht="81.599999999999994">
      <c r="A1864" s="6">
        <v>43424.876238425924</v>
      </c>
      <c r="B1864" s="7" t="str">
        <f>HYPERLINK("https://twitter.com/AlmirBlasDeLezo","@AlmirBlasDeLezo")</f>
        <v>@AlmirBlasDeLezo</v>
      </c>
      <c r="C1864" s="8" t="s">
        <v>4631</v>
      </c>
      <c r="D1864" s="9" t="s">
        <v>4632</v>
      </c>
      <c r="E1864" s="10" t="str">
        <f>HYPERLINK("https://twitter.com/AlmirBlasDeLezo/status/1064972089508155394","1064972089508155394")</f>
        <v>1064972089508155394</v>
      </c>
      <c r="F1864" s="11" t="s">
        <v>3542</v>
      </c>
      <c r="G1864" s="11" t="s">
        <v>3544</v>
      </c>
      <c r="H1864" s="12"/>
      <c r="I1864" s="13">
        <v>1</v>
      </c>
      <c r="J1864" s="13">
        <v>1</v>
      </c>
      <c r="K1864" s="14" t="str">
        <f>HYPERLINK("http://twitter.com","Twitter Web Client")</f>
        <v>Twitter Web Client</v>
      </c>
      <c r="L1864" s="13">
        <v>1991</v>
      </c>
      <c r="M1864" s="13">
        <v>2548</v>
      </c>
      <c r="N1864" s="13">
        <v>11</v>
      </c>
      <c r="O1864" s="15"/>
      <c r="P1864" s="6">
        <v>41101.896550925929</v>
      </c>
      <c r="Q1864" s="16" t="s">
        <v>4633</v>
      </c>
      <c r="R1864" s="17" t="s">
        <v>4634</v>
      </c>
      <c r="S1864" s="11" t="s">
        <v>4635</v>
      </c>
      <c r="T1864" s="12"/>
      <c r="U1864" s="10" t="str">
        <f>HYPERLINK("https://pbs.twimg.com/profile_images/1049641695229464576/i3amdajs.jpg","View")</f>
        <v>View</v>
      </c>
    </row>
    <row r="1865" spans="1:21" ht="40.799999999999997">
      <c r="A1865" s="6">
        <v>43424.876145833332</v>
      </c>
      <c r="B1865" s="7" t="str">
        <f>HYPERLINK("https://twitter.com/carmepamies","@carmepamies")</f>
        <v>@carmepamies</v>
      </c>
      <c r="C1865" s="8" t="s">
        <v>4636</v>
      </c>
      <c r="D1865" s="9" t="s">
        <v>4637</v>
      </c>
      <c r="E1865" s="10" t="str">
        <f>HYPERLINK("https://twitter.com/carmepamies/status/1064972056444502017","1064972056444502017")</f>
        <v>1064972056444502017</v>
      </c>
      <c r="F1865" s="11" t="s">
        <v>4638</v>
      </c>
      <c r="G1865" s="12"/>
      <c r="H1865" s="12"/>
      <c r="I1865" s="13">
        <v>0</v>
      </c>
      <c r="J1865" s="13">
        <v>0</v>
      </c>
      <c r="K1865" s="14" t="str">
        <f>HYPERLINK("http://twitter.com/download/android","Twitter for Android")</f>
        <v>Twitter for Android</v>
      </c>
      <c r="L1865" s="13">
        <v>171</v>
      </c>
      <c r="M1865" s="13">
        <v>342</v>
      </c>
      <c r="N1865" s="13">
        <v>1</v>
      </c>
      <c r="O1865" s="15"/>
      <c r="P1865" s="6">
        <v>40676.467164351852</v>
      </c>
      <c r="Q1865" s="16" t="s">
        <v>448</v>
      </c>
      <c r="R1865" s="17" t="s">
        <v>4641</v>
      </c>
      <c r="S1865" s="11" t="s">
        <v>4642</v>
      </c>
      <c r="T1865" s="12"/>
      <c r="U1865" s="10" t="str">
        <f>HYPERLINK("https://pbs.twimg.com/profile_images/931253322446786560/Orpq_UrF.jpg","View")</f>
        <v>View</v>
      </c>
    </row>
    <row r="1866" spans="1:21" ht="51">
      <c r="A1866" s="6">
        <v>43424.875694444447</v>
      </c>
      <c r="B1866" s="7" t="str">
        <f>HYPERLINK("https://twitter.com/bitMomentum","@bitMomentum")</f>
        <v>@bitMomentum</v>
      </c>
      <c r="C1866" s="8" t="s">
        <v>706</v>
      </c>
      <c r="D1866" s="9" t="s">
        <v>4645</v>
      </c>
      <c r="E1866" s="10" t="str">
        <f>HYPERLINK("https://twitter.com/bitMomentum/status/1064971893080498176","1064971893080498176")</f>
        <v>1064971893080498176</v>
      </c>
      <c r="F1866" s="12"/>
      <c r="G1866" s="12"/>
      <c r="H1866" s="12"/>
      <c r="I1866" s="13">
        <v>0</v>
      </c>
      <c r="J1866" s="13">
        <v>1</v>
      </c>
      <c r="K1866" s="14" t="str">
        <f>HYPERLINK("http://www.bitmomentum.com","bitMomentum Bot")</f>
        <v>bitMomentum Bot</v>
      </c>
      <c r="L1866" s="13">
        <v>10132</v>
      </c>
      <c r="M1866" s="13">
        <v>1060</v>
      </c>
      <c r="N1866" s="13">
        <v>262</v>
      </c>
      <c r="O1866" s="15"/>
      <c r="P1866" s="6">
        <v>41608.667511574073</v>
      </c>
      <c r="Q1866" s="12"/>
      <c r="R1866" s="17" t="s">
        <v>708</v>
      </c>
      <c r="S1866" s="11" t="s">
        <v>709</v>
      </c>
      <c r="T1866" s="12"/>
      <c r="U1866" s="10" t="str">
        <f>HYPERLINK("https://pbs.twimg.com/profile_images/378800000862185241/20ij2H3u.png","View")</f>
        <v>View</v>
      </c>
    </row>
    <row r="1867" spans="1:21" ht="40.799999999999997">
      <c r="A1867" s="6">
        <v>43424.875578703708</v>
      </c>
      <c r="B1867" s="7" t="str">
        <f>HYPERLINK("https://twitter.com/AbaloneOrtega","@AbaloneOrtega")</f>
        <v>@AbaloneOrtega</v>
      </c>
      <c r="C1867" s="8" t="s">
        <v>7185</v>
      </c>
      <c r="D1867" s="9" t="s">
        <v>7186</v>
      </c>
      <c r="E1867" s="10" t="str">
        <f>HYPERLINK("https://twitter.com/AbaloneOrtega/status/1064971852437692421","1064971852437692421")</f>
        <v>1064971852437692421</v>
      </c>
      <c r="F1867" s="12"/>
      <c r="G1867" s="12"/>
      <c r="H1867" s="12"/>
      <c r="I1867" s="13">
        <v>3</v>
      </c>
      <c r="J1867" s="13">
        <v>3</v>
      </c>
      <c r="K1867" s="14" t="str">
        <f>HYPERLINK("http://twitter.com","Twitter Web Client")</f>
        <v>Twitter Web Client</v>
      </c>
      <c r="L1867" s="13">
        <v>4680</v>
      </c>
      <c r="M1867" s="13">
        <v>3694</v>
      </c>
      <c r="N1867" s="13">
        <v>51</v>
      </c>
      <c r="O1867" s="15"/>
      <c r="P1867" s="6">
        <v>41249.886354166665</v>
      </c>
      <c r="Q1867" s="12"/>
      <c r="R1867" s="17" t="s">
        <v>7187</v>
      </c>
      <c r="S1867" s="12"/>
      <c r="T1867" s="12"/>
      <c r="U1867" s="10" t="str">
        <f>HYPERLINK("https://pbs.twimg.com/profile_images/759803574951915524/50ydJhOx.jpg","View")</f>
        <v>View</v>
      </c>
    </row>
    <row r="1868" spans="1:21" ht="20.399999999999999">
      <c r="A1868" s="6">
        <v>43424.87295138889</v>
      </c>
      <c r="B1868" s="7" t="str">
        <f>HYPERLINK("https://twitter.com/DavidTarrio","@DavidTarrio")</f>
        <v>@DavidTarrio</v>
      </c>
      <c r="C1868" s="8" t="s">
        <v>7188</v>
      </c>
      <c r="D1868" s="9" t="s">
        <v>7189</v>
      </c>
      <c r="E1868" s="10" t="str">
        <f>HYPERLINK("https://twitter.com/DavidTarrio/status/1064970899546431490","1064970899546431490")</f>
        <v>1064970899546431490</v>
      </c>
      <c r="F1868" s="11" t="s">
        <v>3688</v>
      </c>
      <c r="G1868" s="12"/>
      <c r="H1868" s="12"/>
      <c r="I1868" s="13">
        <v>0</v>
      </c>
      <c r="J1868" s="13">
        <v>0</v>
      </c>
      <c r="K1868" s="14" t="str">
        <f t="shared" ref="K1868:K1869" si="401">HYPERLINK("http://twitter.com/download/android","Twitter for Android")</f>
        <v>Twitter for Android</v>
      </c>
      <c r="L1868" s="13">
        <v>115</v>
      </c>
      <c r="M1868" s="13">
        <v>615</v>
      </c>
      <c r="N1868" s="13">
        <v>2</v>
      </c>
      <c r="O1868" s="15"/>
      <c r="P1868" s="6">
        <v>40835.726712962962</v>
      </c>
      <c r="Q1868" s="16" t="s">
        <v>37</v>
      </c>
      <c r="R1868" s="17" t="s">
        <v>7191</v>
      </c>
      <c r="S1868" s="12"/>
      <c r="T1868" s="12"/>
      <c r="U1868" s="10" t="str">
        <f>HYPERLINK("https://pbs.twimg.com/profile_images/998888541978476544/-tgzV5g6.jpg","View")</f>
        <v>View</v>
      </c>
    </row>
    <row r="1869" spans="1:21" ht="40.799999999999997">
      <c r="A1869" s="6">
        <v>43424.870706018519</v>
      </c>
      <c r="B1869" s="7" t="str">
        <f>HYPERLINK("https://twitter.com/JavierArocaA","@JavierArocaA")</f>
        <v>@JavierArocaA</v>
      </c>
      <c r="C1869" s="8" t="s">
        <v>7192</v>
      </c>
      <c r="D1869" s="9" t="s">
        <v>7193</v>
      </c>
      <c r="E1869" s="10" t="str">
        <f>HYPERLINK("https://twitter.com/JavierArocaA/status/1064970086556012544","1064970086556012544")</f>
        <v>1064970086556012544</v>
      </c>
      <c r="F1869" s="12"/>
      <c r="G1869" s="12"/>
      <c r="H1869" s="12"/>
      <c r="I1869" s="13">
        <v>26</v>
      </c>
      <c r="J1869" s="13">
        <v>101</v>
      </c>
      <c r="K1869" s="14" t="str">
        <f t="shared" si="401"/>
        <v>Twitter for Android</v>
      </c>
      <c r="L1869" s="13">
        <v>45592</v>
      </c>
      <c r="M1869" s="13">
        <v>95</v>
      </c>
      <c r="N1869" s="13">
        <v>531</v>
      </c>
      <c r="O1869" s="15"/>
      <c r="P1869" s="6">
        <v>40852.560254629629</v>
      </c>
      <c r="Q1869" s="16" t="s">
        <v>7194</v>
      </c>
      <c r="R1869" s="17" t="s">
        <v>7195</v>
      </c>
      <c r="S1869" s="12"/>
      <c r="T1869" s="12"/>
      <c r="U1869" s="10" t="str">
        <f>HYPERLINK("https://pbs.twimg.com/profile_images/549347461496860674/06AzNeUv.jpeg","View")</f>
        <v>View</v>
      </c>
    </row>
    <row r="1870" spans="1:21" ht="51">
      <c r="A1870" s="6">
        <v>43424.870613425926</v>
      </c>
      <c r="B1870" s="7" t="str">
        <f>HYPERLINK("https://twitter.com/CiudadanosCs","@CiudadanosCs")</f>
        <v>@CiudadanosCs</v>
      </c>
      <c r="C1870" s="8" t="s">
        <v>196</v>
      </c>
      <c r="D1870" s="9" t="s">
        <v>4455</v>
      </c>
      <c r="E1870" s="10" t="str">
        <f>HYPERLINK("https://twitter.com/CiudadanosCs/status/1064970053798498309","1064970053798498309")</f>
        <v>1064970053798498309</v>
      </c>
      <c r="F1870" s="12"/>
      <c r="G1870" s="11" t="s">
        <v>2820</v>
      </c>
      <c r="H1870" s="12"/>
      <c r="I1870" s="13">
        <v>251</v>
      </c>
      <c r="J1870" s="13">
        <v>324</v>
      </c>
      <c r="K1870" s="14" t="str">
        <f>HYPERLINK("http://twitter.com","Twitter Web Client")</f>
        <v>Twitter Web Client</v>
      </c>
      <c r="L1870" s="13">
        <v>486503</v>
      </c>
      <c r="M1870" s="13">
        <v>93653</v>
      </c>
      <c r="N1870" s="13">
        <v>3318</v>
      </c>
      <c r="O1870" s="18" t="s">
        <v>36</v>
      </c>
      <c r="P1870" s="6">
        <v>39828.753460648149</v>
      </c>
      <c r="Q1870" s="16" t="s">
        <v>37</v>
      </c>
      <c r="R1870" s="17" t="s">
        <v>202</v>
      </c>
      <c r="S1870" s="11" t="s">
        <v>203</v>
      </c>
      <c r="T1870" s="12"/>
      <c r="U1870" s="10" t="str">
        <f>HYPERLINK("https://pbs.twimg.com/profile_images/1053554096161075200/1z77_zBZ.jpg","View")</f>
        <v>View</v>
      </c>
    </row>
    <row r="1871" spans="1:21" ht="30.6">
      <c r="A1871" s="6">
        <v>43424.870208333334</v>
      </c>
      <c r="B1871" s="7" t="str">
        <f>HYPERLINK("https://twitter.com/Sabrigarpe","@Sabrigarpe")</f>
        <v>@Sabrigarpe</v>
      </c>
      <c r="C1871" s="8" t="s">
        <v>7196</v>
      </c>
      <c r="D1871" s="9" t="s">
        <v>7197</v>
      </c>
      <c r="E1871" s="10" t="str">
        <f>HYPERLINK("https://twitter.com/Sabrigarpe/status/1064969906670764032","1064969906670764032")</f>
        <v>1064969906670764032</v>
      </c>
      <c r="F1871" s="11" t="s">
        <v>4218</v>
      </c>
      <c r="G1871" s="12"/>
      <c r="H1871" s="12"/>
      <c r="I1871" s="13">
        <v>0</v>
      </c>
      <c r="J1871" s="13">
        <v>1</v>
      </c>
      <c r="K1871" s="14" t="str">
        <f>HYPERLINK("http://twitter.com/download/android","Twitter for Android")</f>
        <v>Twitter for Android</v>
      </c>
      <c r="L1871" s="13">
        <v>158</v>
      </c>
      <c r="M1871" s="13">
        <v>181</v>
      </c>
      <c r="N1871" s="13">
        <v>1</v>
      </c>
      <c r="O1871" s="15"/>
      <c r="P1871" s="6">
        <v>41438.41878472222</v>
      </c>
      <c r="Q1871" s="16" t="s">
        <v>496</v>
      </c>
      <c r="R1871" s="17" t="s">
        <v>7198</v>
      </c>
      <c r="S1871" s="12"/>
      <c r="T1871" s="12"/>
      <c r="U1871" s="10" t="str">
        <f>HYPERLINK("https://pbs.twimg.com/profile_images/1041390044802686977/bG8mPPZa.jpg","View")</f>
        <v>View</v>
      </c>
    </row>
    <row r="1872" spans="1:21" ht="112.2">
      <c r="A1872" s="6">
        <v>43424.869895833333</v>
      </c>
      <c r="B1872" s="7" t="str">
        <f>HYPERLINK("https://twitter.com/lahoraredaccion","@lahoraredaccion")</f>
        <v>@lahoraredaccion</v>
      </c>
      <c r="C1872" s="8" t="s">
        <v>717</v>
      </c>
      <c r="D1872" s="9" t="s">
        <v>4646</v>
      </c>
      <c r="E1872" s="10" t="str">
        <f>HYPERLINK("https://twitter.com/lahoraredaccion/status/1064969792807976962","1064969792807976962")</f>
        <v>1064969792807976962</v>
      </c>
      <c r="F1872" s="11" t="s">
        <v>4647</v>
      </c>
      <c r="G1872" s="12"/>
      <c r="H1872" s="12"/>
      <c r="I1872" s="13">
        <v>0</v>
      </c>
      <c r="J1872" s="13">
        <v>0</v>
      </c>
      <c r="K1872" s="14" t="str">
        <f>HYPERLINK("http://twitter.com","Twitter Web Client")</f>
        <v>Twitter Web Client</v>
      </c>
      <c r="L1872" s="13">
        <v>1644</v>
      </c>
      <c r="M1872" s="13">
        <v>4231</v>
      </c>
      <c r="N1872" s="13">
        <v>14</v>
      </c>
      <c r="O1872" s="15"/>
      <c r="P1872" s="6">
        <v>40585.755208333336</v>
      </c>
      <c r="Q1872" s="16" t="s">
        <v>722</v>
      </c>
      <c r="R1872" s="17" t="s">
        <v>723</v>
      </c>
      <c r="S1872" s="12"/>
      <c r="T1872" s="12"/>
      <c r="U1872" s="10" t="str">
        <f>HYPERLINK("https://pbs.twimg.com/profile_images/1243587141/La_Hora.jpg","View")</f>
        <v>View</v>
      </c>
    </row>
    <row r="1873" spans="1:21" ht="81.599999999999994">
      <c r="A1873" s="6">
        <v>43424.868703703702</v>
      </c>
      <c r="B1873" s="7" t="str">
        <f>HYPERLINK("https://twitter.com/ProfesionalVtc","@ProfesionalVtc")</f>
        <v>@ProfesionalVtc</v>
      </c>
      <c r="C1873" s="8" t="s">
        <v>4648</v>
      </c>
      <c r="D1873" s="9" t="s">
        <v>4649</v>
      </c>
      <c r="E1873" s="10" t="str">
        <f>HYPERLINK("https://twitter.com/ProfesionalVtc/status/1064969362539507712","1064969362539507712")</f>
        <v>1064969362539507712</v>
      </c>
      <c r="F1873" s="11" t="s">
        <v>4650</v>
      </c>
      <c r="G1873" s="11" t="s">
        <v>4651</v>
      </c>
      <c r="H1873" s="12"/>
      <c r="I1873" s="13">
        <v>0</v>
      </c>
      <c r="J1873" s="13">
        <v>0</v>
      </c>
      <c r="K1873" s="14" t="str">
        <f>HYPERLINK("http://twitter.com/download/android","Twitter for Android")</f>
        <v>Twitter for Android</v>
      </c>
      <c r="L1873" s="13">
        <v>255</v>
      </c>
      <c r="M1873" s="13">
        <v>65</v>
      </c>
      <c r="N1873" s="13">
        <v>0</v>
      </c>
      <c r="O1873" s="15"/>
      <c r="P1873" s="6">
        <v>43293.544745370367</v>
      </c>
      <c r="Q1873" s="16" t="s">
        <v>4652</v>
      </c>
      <c r="R1873" s="19"/>
      <c r="S1873" s="12"/>
      <c r="T1873" s="12"/>
      <c r="U1873" s="10" t="str">
        <f>HYPERLINK("https://pbs.twimg.com/profile_images/1017486764578082818/TNgPPjxk.jpg","View")</f>
        <v>View</v>
      </c>
    </row>
    <row r="1874" spans="1:21" ht="51">
      <c r="A1874" s="6">
        <v>43424.866932870369</v>
      </c>
      <c r="B1874" s="7" t="str">
        <f>HYPERLINK("https://twitter.com/Albert_Rivera","@Albert_Rivera")</f>
        <v>@Albert_Rivera</v>
      </c>
      <c r="C1874" s="8" t="s">
        <v>389</v>
      </c>
      <c r="D1874" s="9" t="s">
        <v>7199</v>
      </c>
      <c r="E1874" s="10" t="str">
        <f>HYPERLINK("https://twitter.com/Albert_Rivera/status/1064968720790011905","1064968720790011905")</f>
        <v>1064968720790011905</v>
      </c>
      <c r="F1874" s="12"/>
      <c r="G1874" s="11" t="s">
        <v>4006</v>
      </c>
      <c r="H1874" s="12"/>
      <c r="I1874" s="13">
        <v>1187</v>
      </c>
      <c r="J1874" s="13">
        <v>1554</v>
      </c>
      <c r="K1874" s="14" t="str">
        <f>HYPERLINK("http://twitter.com/download/iphone","Twitter for iPhone")</f>
        <v>Twitter for iPhone</v>
      </c>
      <c r="L1874" s="13">
        <v>1071530</v>
      </c>
      <c r="M1874" s="13">
        <v>2545</v>
      </c>
      <c r="N1874" s="13">
        <v>5104</v>
      </c>
      <c r="O1874" s="18" t="s">
        <v>36</v>
      </c>
      <c r="P1874" s="6">
        <v>40205.748171296298</v>
      </c>
      <c r="Q1874" s="16" t="s">
        <v>37</v>
      </c>
      <c r="R1874" s="17" t="s">
        <v>393</v>
      </c>
      <c r="S1874" s="11" t="s">
        <v>394</v>
      </c>
      <c r="T1874" s="12"/>
      <c r="U1874" s="10" t="str">
        <f>HYPERLINK("https://pbs.twimg.com/profile_images/1030708936779988993/RncDM4EZ.jpg","View")</f>
        <v>View</v>
      </c>
    </row>
    <row r="1875" spans="1:21" ht="40.799999999999997">
      <c r="A1875" s="6">
        <v>43424.865879629629</v>
      </c>
      <c r="B1875" s="7" t="str">
        <f>HYPERLINK("https://twitter.com/PepeGarciaPer","@PepeGarciaPer")</f>
        <v>@PepeGarciaPer</v>
      </c>
      <c r="C1875" s="8" t="s">
        <v>2698</v>
      </c>
      <c r="D1875" s="9" t="s">
        <v>4653</v>
      </c>
      <c r="E1875" s="10" t="str">
        <f>HYPERLINK("https://twitter.com/PepeGarciaPer/status/1064968337808080896","1064968337808080896")</f>
        <v>1064968337808080896</v>
      </c>
      <c r="F1875" s="12"/>
      <c r="G1875" s="12"/>
      <c r="H1875" s="12"/>
      <c r="I1875" s="13">
        <v>69</v>
      </c>
      <c r="J1875" s="13">
        <v>90</v>
      </c>
      <c r="K1875" s="14" t="str">
        <f>HYPERLINK("http://twitter.com","Twitter Web Client")</f>
        <v>Twitter Web Client</v>
      </c>
      <c r="L1875" s="13">
        <v>3111</v>
      </c>
      <c r="M1875" s="13">
        <v>2545</v>
      </c>
      <c r="N1875" s="13">
        <v>25</v>
      </c>
      <c r="O1875" s="15"/>
      <c r="P1875" s="6">
        <v>41067.917546296296</v>
      </c>
      <c r="Q1875" s="16" t="s">
        <v>2700</v>
      </c>
      <c r="R1875" s="17" t="s">
        <v>2701</v>
      </c>
      <c r="S1875" s="12"/>
      <c r="T1875" s="12"/>
      <c r="U1875" s="10" t="str">
        <f>HYPERLINK("https://pbs.twimg.com/profile_images/2779989453/f11a42a4fc687ff1349d4969e049875a.jpeg","View")</f>
        <v>View</v>
      </c>
    </row>
    <row r="1876" spans="1:21" ht="40.799999999999997">
      <c r="A1876" s="6">
        <v>43424.865868055553</v>
      </c>
      <c r="B1876" s="7" t="str">
        <f>HYPERLINK("https://twitter.com/pfont_","@pfont_")</f>
        <v>@pfont_</v>
      </c>
      <c r="C1876" s="8" t="s">
        <v>7200</v>
      </c>
      <c r="D1876" s="9" t="s">
        <v>7201</v>
      </c>
      <c r="E1876" s="10" t="str">
        <f>HYPERLINK("https://twitter.com/pfont_/status/1064968331399184385","1064968331399184385")</f>
        <v>1064968331399184385</v>
      </c>
      <c r="F1876" s="12"/>
      <c r="G1876" s="11" t="s">
        <v>7202</v>
      </c>
      <c r="H1876" s="12"/>
      <c r="I1876" s="13">
        <v>5</v>
      </c>
      <c r="J1876" s="13">
        <v>15</v>
      </c>
      <c r="K1876" s="14" t="str">
        <f t="shared" ref="K1876:K1878" si="402">HYPERLINK("http://twitter.com/download/android","Twitter for Android")</f>
        <v>Twitter for Android</v>
      </c>
      <c r="L1876" s="13">
        <v>1535</v>
      </c>
      <c r="M1876" s="13">
        <v>3326</v>
      </c>
      <c r="N1876" s="13">
        <v>67</v>
      </c>
      <c r="O1876" s="15"/>
      <c r="P1876" s="6">
        <v>39493.191481481481</v>
      </c>
      <c r="Q1876" s="16" t="s">
        <v>204</v>
      </c>
      <c r="R1876" s="17" t="s">
        <v>7203</v>
      </c>
      <c r="S1876" s="11" t="s">
        <v>7204</v>
      </c>
      <c r="T1876" s="12"/>
      <c r="U1876" s="10" t="str">
        <f>HYPERLINK("https://pbs.twimg.com/profile_images/1061006151637258241/Tgvz_Rcr.jpg","View")</f>
        <v>View</v>
      </c>
    </row>
    <row r="1877" spans="1:21" ht="51">
      <c r="A1877" s="6">
        <v>43424.864699074074</v>
      </c>
      <c r="B1877" s="7" t="str">
        <f>HYPERLINK("https://twitter.com/CsLaRioja","@CsLaRioja")</f>
        <v>@CsLaRioja</v>
      </c>
      <c r="C1877" s="8" t="s">
        <v>1000</v>
      </c>
      <c r="D1877" s="9" t="s">
        <v>4657</v>
      </c>
      <c r="E1877" s="10" t="str">
        <f>HYPERLINK("https://twitter.com/CsLaRioja/status/1064967909687074818","1064967909687074818")</f>
        <v>1064967909687074818</v>
      </c>
      <c r="F1877" s="12"/>
      <c r="G1877" s="11" t="s">
        <v>4658</v>
      </c>
      <c r="H1877" s="12"/>
      <c r="I1877" s="13">
        <v>3</v>
      </c>
      <c r="J1877" s="13">
        <v>3</v>
      </c>
      <c r="K1877" s="14" t="str">
        <f t="shared" si="402"/>
        <v>Twitter for Android</v>
      </c>
      <c r="L1877" s="13">
        <v>4219</v>
      </c>
      <c r="M1877" s="13">
        <v>1618</v>
      </c>
      <c r="N1877" s="13">
        <v>83</v>
      </c>
      <c r="O1877" s="18" t="s">
        <v>36</v>
      </c>
      <c r="P1877" s="6">
        <v>41950.884421296294</v>
      </c>
      <c r="Q1877" s="16" t="s">
        <v>1007</v>
      </c>
      <c r="R1877" s="17" t="s">
        <v>1008</v>
      </c>
      <c r="S1877" s="11" t="s">
        <v>1009</v>
      </c>
      <c r="T1877" s="12"/>
      <c r="U1877" s="10" t="str">
        <f>HYPERLINK("https://pbs.twimg.com/profile_images/1053530865739988993/qxMztW6q.jpg","View")</f>
        <v>View</v>
      </c>
    </row>
    <row r="1878" spans="1:21" ht="40.799999999999997">
      <c r="A1878" s="6">
        <v>43424.863356481481</v>
      </c>
      <c r="B1878" s="7" t="str">
        <f>HYPERLINK("https://twitter.com/jrtorices","@jrtorices")</f>
        <v>@jrtorices</v>
      </c>
      <c r="C1878" s="8" t="s">
        <v>4659</v>
      </c>
      <c r="D1878" s="9" t="s">
        <v>4660</v>
      </c>
      <c r="E1878" s="10" t="str">
        <f>HYPERLINK("https://twitter.com/jrtorices/status/1064967425253404672","1064967425253404672")</f>
        <v>1064967425253404672</v>
      </c>
      <c r="F1878" s="12"/>
      <c r="G1878" s="12"/>
      <c r="H1878" s="12"/>
      <c r="I1878" s="13">
        <v>1</v>
      </c>
      <c r="J1878" s="13">
        <v>2</v>
      </c>
      <c r="K1878" s="14" t="str">
        <f t="shared" si="402"/>
        <v>Twitter for Android</v>
      </c>
      <c r="L1878" s="13">
        <v>67</v>
      </c>
      <c r="M1878" s="13">
        <v>151</v>
      </c>
      <c r="N1878" s="13">
        <v>0</v>
      </c>
      <c r="O1878" s="15"/>
      <c r="P1878" s="6">
        <v>41360.557847222226</v>
      </c>
      <c r="Q1878" s="16" t="s">
        <v>4661</v>
      </c>
      <c r="R1878" s="17" t="s">
        <v>4662</v>
      </c>
      <c r="S1878" s="11" t="s">
        <v>4663</v>
      </c>
      <c r="T1878" s="12"/>
      <c r="U1878" s="10" t="str">
        <f>HYPERLINK("https://pbs.twimg.com/profile_images/1064856672508788737/rwoCsxlk.jpg","View")</f>
        <v>View</v>
      </c>
    </row>
    <row r="1879" spans="1:21" ht="51">
      <c r="A1879" s="6">
        <v>43424.862881944442</v>
      </c>
      <c r="B1879" s="7" t="str">
        <f>HYPERLINK("https://twitter.com/GranadaCnSusana","@GranadaCnSusana")</f>
        <v>@GranadaCnSusana</v>
      </c>
      <c r="C1879" s="8" t="s">
        <v>1823</v>
      </c>
      <c r="D1879" s="9" t="s">
        <v>7205</v>
      </c>
      <c r="E1879" s="10" t="str">
        <f>HYPERLINK("https://twitter.com/GranadaCnSusana/status/1064967251386875904","1064967251386875904")</f>
        <v>1064967251386875904</v>
      </c>
      <c r="F1879" s="12"/>
      <c r="G1879" s="11" t="s">
        <v>7206</v>
      </c>
      <c r="H1879" s="12"/>
      <c r="I1879" s="13">
        <v>1</v>
      </c>
      <c r="J1879" s="13">
        <v>0</v>
      </c>
      <c r="K1879" s="14" t="str">
        <f>HYPERLINK("https://ifttt.com","IFTTT")</f>
        <v>IFTTT</v>
      </c>
      <c r="L1879" s="13">
        <v>1937</v>
      </c>
      <c r="M1879" s="13">
        <v>1280</v>
      </c>
      <c r="N1879" s="13">
        <v>17</v>
      </c>
      <c r="O1879" s="15"/>
      <c r="P1879" s="6">
        <v>42038.445960648147</v>
      </c>
      <c r="Q1879" s="12"/>
      <c r="R1879" s="17" t="s">
        <v>1827</v>
      </c>
      <c r="S1879" s="12"/>
      <c r="T1879" s="12"/>
      <c r="U1879" s="10" t="str">
        <f>HYPERLINK("https://pbs.twimg.com/profile_images/867062818650152961/05wVQ27K.jpg","View")</f>
        <v>View</v>
      </c>
    </row>
    <row r="1880" spans="1:21" ht="30.6">
      <c r="A1880" s="6">
        <v>43424.862858796296</v>
      </c>
      <c r="B1880" s="7" t="str">
        <f>HYPERLINK("https://twitter.com/Alebarfou","@Alebarfou")</f>
        <v>@Alebarfou</v>
      </c>
      <c r="C1880" s="8" t="s">
        <v>4664</v>
      </c>
      <c r="D1880" s="9" t="s">
        <v>4665</v>
      </c>
      <c r="E1880" s="10" t="str">
        <f>HYPERLINK("https://twitter.com/Alebarfou/status/1064967242784362496","1064967242784362496")</f>
        <v>1064967242784362496</v>
      </c>
      <c r="F1880" s="12"/>
      <c r="G1880" s="12"/>
      <c r="H1880" s="12"/>
      <c r="I1880" s="13">
        <v>0</v>
      </c>
      <c r="J1880" s="13">
        <v>0</v>
      </c>
      <c r="K1880" s="14" t="str">
        <f>HYPERLINK("http://twitter.com/download/android","Twitter for Android")</f>
        <v>Twitter for Android</v>
      </c>
      <c r="L1880" s="13">
        <v>512</v>
      </c>
      <c r="M1880" s="13">
        <v>323</v>
      </c>
      <c r="N1880" s="13">
        <v>4</v>
      </c>
      <c r="O1880" s="15"/>
      <c r="P1880" s="6">
        <v>41510.851053240738</v>
      </c>
      <c r="Q1880" s="16" t="s">
        <v>4666</v>
      </c>
      <c r="R1880" s="17" t="s">
        <v>4667</v>
      </c>
      <c r="S1880" s="11" t="s">
        <v>4668</v>
      </c>
      <c r="T1880" s="12"/>
      <c r="U1880" s="10" t="str">
        <f>HYPERLINK("https://pbs.twimg.com/profile_images/1061996102185041921/KNapoPT1.jpg","View")</f>
        <v>View</v>
      </c>
    </row>
    <row r="1881" spans="1:21" ht="40.799999999999997">
      <c r="A1881" s="6">
        <v>43424.862268518518</v>
      </c>
      <c r="B1881" s="7" t="str">
        <f>HYPERLINK("https://twitter.com/DenniselAzul","@DenniselAzul")</f>
        <v>@DenniselAzul</v>
      </c>
      <c r="C1881" s="8" t="s">
        <v>7207</v>
      </c>
      <c r="D1881" s="9" t="s">
        <v>7208</v>
      </c>
      <c r="E1881" s="10" t="str">
        <f>HYPERLINK("https://twitter.com/DenniselAzul/status/1064967027851489280","1064967027851489280")</f>
        <v>1064967027851489280</v>
      </c>
      <c r="F1881" s="12"/>
      <c r="G1881" s="12"/>
      <c r="H1881" s="12"/>
      <c r="I1881" s="13">
        <v>0</v>
      </c>
      <c r="J1881" s="13">
        <v>0</v>
      </c>
      <c r="K1881" s="14" t="str">
        <f t="shared" ref="K1881:K1882" si="403">HYPERLINK("http://twitter.com","Twitter Web Client")</f>
        <v>Twitter Web Client</v>
      </c>
      <c r="L1881" s="13">
        <v>759</v>
      </c>
      <c r="M1881" s="13">
        <v>347</v>
      </c>
      <c r="N1881" s="13">
        <v>1</v>
      </c>
      <c r="O1881" s="15"/>
      <c r="P1881" s="6">
        <v>40547.677812499998</v>
      </c>
      <c r="Q1881" s="16" t="s">
        <v>7209</v>
      </c>
      <c r="R1881" s="17" t="s">
        <v>7210</v>
      </c>
      <c r="S1881" s="11" t="s">
        <v>7211</v>
      </c>
      <c r="T1881" s="12"/>
      <c r="U1881" s="10" t="str">
        <f>HYPERLINK("https://pbs.twimg.com/profile_images/1036623075972923392/jnnaxvSl.jpg","View")</f>
        <v>View</v>
      </c>
    </row>
    <row r="1882" spans="1:21" ht="30.6">
      <c r="A1882" s="6">
        <v>43424.861805555556</v>
      </c>
      <c r="B1882" s="7" t="str">
        <f>HYPERLINK("https://twitter.com/GranCanariaTv","@GranCanariaTv")</f>
        <v>@GranCanariaTv</v>
      </c>
      <c r="C1882" s="8" t="s">
        <v>6899</v>
      </c>
      <c r="D1882" s="9" t="s">
        <v>7212</v>
      </c>
      <c r="E1882" s="10" t="str">
        <f>HYPERLINK("https://twitter.com/GranCanariaTv/status/1064966859232034816","1064966859232034816")</f>
        <v>1064966859232034816</v>
      </c>
      <c r="F1882" s="11" t="s">
        <v>6901</v>
      </c>
      <c r="G1882" s="12"/>
      <c r="H1882" s="12"/>
      <c r="I1882" s="13">
        <v>0</v>
      </c>
      <c r="J1882" s="13">
        <v>0</v>
      </c>
      <c r="K1882" s="14" t="str">
        <f t="shared" si="403"/>
        <v>Twitter Web Client</v>
      </c>
      <c r="L1882" s="13">
        <v>5000</v>
      </c>
      <c r="M1882" s="13">
        <v>3356</v>
      </c>
      <c r="N1882" s="13">
        <v>99</v>
      </c>
      <c r="O1882" s="15"/>
      <c r="P1882" s="6">
        <v>40504.989155092597</v>
      </c>
      <c r="Q1882" s="16" t="s">
        <v>1345</v>
      </c>
      <c r="R1882" s="17" t="s">
        <v>6902</v>
      </c>
      <c r="S1882" s="11" t="s">
        <v>6903</v>
      </c>
      <c r="T1882" s="12"/>
      <c r="U1882" s="10" t="str">
        <f>HYPERLINK("https://pbs.twimg.com/profile_images/728335785527758848/RP6AGTBc.jpg","View")</f>
        <v>View</v>
      </c>
    </row>
    <row r="1883" spans="1:21" ht="40.799999999999997">
      <c r="A1883" s="6">
        <v>43424.861562499995</v>
      </c>
      <c r="B1883" s="7" t="str">
        <f>HYPERLINK("https://twitter.com/CiudadanoVille","@CiudadanoVille")</f>
        <v>@CiudadanoVille</v>
      </c>
      <c r="C1883" s="8" t="s">
        <v>4675</v>
      </c>
      <c r="D1883" s="9" t="s">
        <v>4676</v>
      </c>
      <c r="E1883" s="10" t="str">
        <f>HYPERLINK("https://twitter.com/CiudadanoVille/status/1064966772036648960","1064966772036648960")</f>
        <v>1064966772036648960</v>
      </c>
      <c r="F1883" s="12"/>
      <c r="G1883" s="11" t="s">
        <v>4677</v>
      </c>
      <c r="H1883" s="12"/>
      <c r="I1883" s="13">
        <v>580</v>
      </c>
      <c r="J1883" s="13">
        <v>1136</v>
      </c>
      <c r="K1883" s="14" t="str">
        <f>HYPERLINK("http://twitter.com/download/iphone","Twitter for iPhone")</f>
        <v>Twitter for iPhone</v>
      </c>
      <c r="L1883" s="13">
        <v>18856</v>
      </c>
      <c r="M1883" s="13">
        <v>198</v>
      </c>
      <c r="N1883" s="13">
        <v>271</v>
      </c>
      <c r="O1883" s="18" t="s">
        <v>36</v>
      </c>
      <c r="P1883" s="6">
        <v>40313.81826388889</v>
      </c>
      <c r="Q1883" s="12"/>
      <c r="R1883" s="17" t="s">
        <v>4678</v>
      </c>
      <c r="S1883" s="11" t="s">
        <v>664</v>
      </c>
      <c r="T1883" s="12"/>
      <c r="U1883" s="10" t="str">
        <f>HYPERLINK("https://pbs.twimg.com/profile_images/1017833460000591872/wvGkrLJG.jpg","View")</f>
        <v>View</v>
      </c>
    </row>
    <row r="1884" spans="1:21" ht="51">
      <c r="A1884" s="6">
        <v>43424.86072916667</v>
      </c>
      <c r="B1884" s="7" t="str">
        <f>HYPERLINK("https://twitter.com/GustavoHervas","@GustavoHervas")</f>
        <v>@GustavoHervas</v>
      </c>
      <c r="C1884" s="8" t="s">
        <v>1830</v>
      </c>
      <c r="D1884" s="9" t="s">
        <v>7205</v>
      </c>
      <c r="E1884" s="10" t="str">
        <f>HYPERLINK("https://twitter.com/GustavoHervas/status/1064966471573536768","1064966471573536768")</f>
        <v>1064966471573536768</v>
      </c>
      <c r="F1884" s="12"/>
      <c r="G1884" s="11" t="s">
        <v>7206</v>
      </c>
      <c r="H1884" s="12"/>
      <c r="I1884" s="13">
        <v>0</v>
      </c>
      <c r="J1884" s="13">
        <v>0</v>
      </c>
      <c r="K1884" s="14" t="str">
        <f>HYPERLINK("https://ifttt.com","IFTTT")</f>
        <v>IFTTT</v>
      </c>
      <c r="L1884" s="13">
        <v>3175</v>
      </c>
      <c r="M1884" s="13">
        <v>892</v>
      </c>
      <c r="N1884" s="13">
        <v>7</v>
      </c>
      <c r="O1884" s="15"/>
      <c r="P1884" s="6">
        <v>41333.983495370368</v>
      </c>
      <c r="Q1884" s="16" t="s">
        <v>181</v>
      </c>
      <c r="R1884" s="17" t="s">
        <v>1831</v>
      </c>
      <c r="S1884" s="12"/>
      <c r="T1884" s="12"/>
      <c r="U1884" s="10" t="str">
        <f>HYPERLINK("https://pbs.twimg.com/profile_images/456084345875628035/MgW52-4R.jpeg","View")</f>
        <v>View</v>
      </c>
    </row>
    <row r="1885" spans="1:21" ht="30.6">
      <c r="A1885" s="6">
        <v>43424.860636574071</v>
      </c>
      <c r="B1885" s="7" t="str">
        <f>HYPERLINK("https://twitter.com/PolitwoopsCAT","@PolitwoopsCAT")</f>
        <v>@PolitwoopsCAT</v>
      </c>
      <c r="C1885" s="8" t="s">
        <v>7213</v>
      </c>
      <c r="D1885" s="9" t="s">
        <v>7214</v>
      </c>
      <c r="E1885" s="10" t="str">
        <f>HYPERLINK("https://twitter.com/PolitwoopsCAT/status/1064966438002278409","1064966438002278409")</f>
        <v>1064966438002278409</v>
      </c>
      <c r="F1885" s="16" t="s">
        <v>7215</v>
      </c>
      <c r="G1885" s="12"/>
      <c r="H1885" s="12"/>
      <c r="I1885" s="13">
        <v>0</v>
      </c>
      <c r="J1885" s="13">
        <v>0</v>
      </c>
      <c r="K1885" s="14" t="str">
        <f>HYPERLINK("http://www.politwoops.com/","Politwoops")</f>
        <v>Politwoops</v>
      </c>
      <c r="L1885" s="13">
        <v>1442</v>
      </c>
      <c r="M1885" s="13">
        <v>6</v>
      </c>
      <c r="N1885" s="13">
        <v>62</v>
      </c>
      <c r="O1885" s="15"/>
      <c r="P1885" s="6">
        <v>41391.518333333333</v>
      </c>
      <c r="Q1885" s="16" t="s">
        <v>448</v>
      </c>
      <c r="R1885" s="17" t="s">
        <v>7216</v>
      </c>
      <c r="S1885" s="11" t="s">
        <v>7217</v>
      </c>
      <c r="T1885" s="12"/>
      <c r="U1885" s="10" t="str">
        <f>HYPERLINK("https://pbs.twimg.com/profile_images/3580478455/8d9aeeaa206bebaf4385f9197bf7fa7c.png","View")</f>
        <v>View</v>
      </c>
    </row>
    <row r="1886" spans="1:21" ht="51">
      <c r="A1886" s="6">
        <v>43424.860555555555</v>
      </c>
      <c r="B1886" s="7" t="str">
        <f>HYPERLINK("https://twitter.com/ahbimbela","@ahbimbela")</f>
        <v>@ahbimbela</v>
      </c>
      <c r="C1886" s="8" t="s">
        <v>795</v>
      </c>
      <c r="D1886" s="9" t="s">
        <v>7205</v>
      </c>
      <c r="E1886" s="10" t="str">
        <f>HYPERLINK("https://twitter.com/ahbimbela/status/1064966409090940928","1064966409090940928")</f>
        <v>1064966409090940928</v>
      </c>
      <c r="F1886" s="12"/>
      <c r="G1886" s="11" t="s">
        <v>7206</v>
      </c>
      <c r="H1886" s="12"/>
      <c r="I1886" s="13">
        <v>0</v>
      </c>
      <c r="J1886" s="13">
        <v>0</v>
      </c>
      <c r="K1886" s="14" t="str">
        <f>HYPERLINK("https://ifttt.com","IFTTT")</f>
        <v>IFTTT</v>
      </c>
      <c r="L1886" s="13">
        <v>770</v>
      </c>
      <c r="M1886" s="13">
        <v>949</v>
      </c>
      <c r="N1886" s="13">
        <v>32</v>
      </c>
      <c r="O1886" s="15"/>
      <c r="P1886" s="6">
        <v>41226.036504629628</v>
      </c>
      <c r="Q1886" s="12"/>
      <c r="R1886" s="17" t="s">
        <v>2282</v>
      </c>
      <c r="S1886" s="12"/>
      <c r="T1886" s="12"/>
      <c r="U1886" s="10" t="str">
        <f>HYPERLINK("https://pbs.twimg.com/profile_images/1027312367883956225/zIwCZads.jpg","View")</f>
        <v>View</v>
      </c>
    </row>
    <row r="1887" spans="1:21" ht="51">
      <c r="A1887" s="6">
        <v>43424.859884259262</v>
      </c>
      <c r="B1887" s="7" t="str">
        <f>HYPERLINK("https://twitter.com/rosaroja1956","@rosaroja1956")</f>
        <v>@rosaroja1956</v>
      </c>
      <c r="C1887" s="8" t="s">
        <v>941</v>
      </c>
      <c r="D1887" s="9" t="s">
        <v>4679</v>
      </c>
      <c r="E1887" s="10" t="str">
        <f>HYPERLINK("https://twitter.com/rosaroja1956/status/1064966163225092096","1064966163225092096")</f>
        <v>1064966163225092096</v>
      </c>
      <c r="F1887" s="12"/>
      <c r="G1887" s="11" t="s">
        <v>4680</v>
      </c>
      <c r="H1887" s="12"/>
      <c r="I1887" s="13">
        <v>2</v>
      </c>
      <c r="J1887" s="13">
        <v>0</v>
      </c>
      <c r="K1887" s="14" t="str">
        <f>HYPERLINK("http://twitter.com/download/iphone","Twitter for iPhone")</f>
        <v>Twitter for iPhone</v>
      </c>
      <c r="L1887" s="13">
        <v>7435</v>
      </c>
      <c r="M1887" s="13">
        <v>7410</v>
      </c>
      <c r="N1887" s="13">
        <v>123</v>
      </c>
      <c r="O1887" s="15"/>
      <c r="P1887" s="6">
        <v>40578.857638888891</v>
      </c>
      <c r="Q1887" s="16" t="s">
        <v>944</v>
      </c>
      <c r="R1887" s="17" t="s">
        <v>945</v>
      </c>
      <c r="S1887" s="11" t="s">
        <v>946</v>
      </c>
      <c r="T1887" s="12"/>
      <c r="U1887" s="10" t="str">
        <f>HYPERLINK("https://pbs.twimg.com/profile_images/1061694505043275777/GxGNHsxt.jpg","View")</f>
        <v>View</v>
      </c>
    </row>
    <row r="1888" spans="1:21" ht="40.799999999999997">
      <c r="A1888" s="6">
        <v>43424.859479166669</v>
      </c>
      <c r="B1888" s="7" t="str">
        <f>HYPERLINK("https://twitter.com/enriquedediegov","@enriquedediegov")</f>
        <v>@enriquedediegov</v>
      </c>
      <c r="C1888" s="8" t="s">
        <v>6915</v>
      </c>
      <c r="D1888" s="9" t="s">
        <v>6984</v>
      </c>
      <c r="E1888" s="10" t="str">
        <f>HYPERLINK("https://twitter.com/enriquedediegov/status/1064966018941050880","1064966018941050880")</f>
        <v>1064966018941050880</v>
      </c>
      <c r="F1888" s="11" t="s">
        <v>7218</v>
      </c>
      <c r="G1888" s="12"/>
      <c r="H1888" s="12"/>
      <c r="I1888" s="13">
        <v>1</v>
      </c>
      <c r="J1888" s="13">
        <v>1</v>
      </c>
      <c r="K1888" s="14" t="str">
        <f>HYPERLINK("http://twitter.com","Twitter Web Client")</f>
        <v>Twitter Web Client</v>
      </c>
      <c r="L1888" s="13">
        <v>7717</v>
      </c>
      <c r="M1888" s="13">
        <v>6025</v>
      </c>
      <c r="N1888" s="13">
        <v>180</v>
      </c>
      <c r="O1888" s="15"/>
      <c r="P1888" s="6">
        <v>41293.717129629629</v>
      </c>
      <c r="Q1888" s="16" t="s">
        <v>37</v>
      </c>
      <c r="R1888" s="17" t="s">
        <v>6919</v>
      </c>
      <c r="S1888" s="11" t="s">
        <v>6920</v>
      </c>
      <c r="T1888" s="12"/>
      <c r="U1888" s="10" t="str">
        <f>HYPERLINK("https://pbs.twimg.com/profile_images/3129623790/4ae197d01442e05dee4622297c3b9642.jpeg","View")</f>
        <v>View</v>
      </c>
    </row>
    <row r="1889" spans="1:21" ht="30.6">
      <c r="A1889" s="6">
        <v>43424.857974537037</v>
      </c>
      <c r="B1889" s="7" t="str">
        <f>HYPERLINK("https://twitter.com/JessMar74026841","@JessMar74026841")</f>
        <v>@JessMar74026841</v>
      </c>
      <c r="C1889" s="8" t="s">
        <v>1409</v>
      </c>
      <c r="D1889" s="9" t="s">
        <v>7219</v>
      </c>
      <c r="E1889" s="10" t="str">
        <f>HYPERLINK("https://twitter.com/JessMar74026841/status/1064965472653856769","1064965472653856769")</f>
        <v>1064965472653856769</v>
      </c>
      <c r="F1889" s="12"/>
      <c r="G1889" s="11" t="s">
        <v>7220</v>
      </c>
      <c r="H1889" s="12"/>
      <c r="I1889" s="13">
        <v>0</v>
      </c>
      <c r="J1889" s="13">
        <v>0</v>
      </c>
      <c r="K1889" s="14" t="str">
        <f>HYPERLINK("http://twitter.com/download/android","Twitter for Android")</f>
        <v>Twitter for Android</v>
      </c>
      <c r="L1889" s="13">
        <v>246</v>
      </c>
      <c r="M1889" s="13">
        <v>302</v>
      </c>
      <c r="N1889" s="13">
        <v>0</v>
      </c>
      <c r="O1889" s="15"/>
      <c r="P1889" s="6">
        <v>43422.000127314815</v>
      </c>
      <c r="Q1889" s="12"/>
      <c r="R1889" s="17" t="s">
        <v>1414</v>
      </c>
      <c r="S1889" s="12"/>
      <c r="T1889" s="12"/>
      <c r="U1889" s="10" t="str">
        <f>HYPERLINK("https://pbs.twimg.com/profile_images/1063952006702866432/DG4QTJf2.jpg","View")</f>
        <v>View</v>
      </c>
    </row>
    <row r="1890" spans="1:21" ht="40.799999999999997">
      <c r="A1890" s="6">
        <v>43424.857928240745</v>
      </c>
      <c r="B1890" s="7" t="str">
        <f>HYPERLINK("https://twitter.com/La_Cerca","@La_Cerca")</f>
        <v>@La_Cerca</v>
      </c>
      <c r="C1890" s="8" t="s">
        <v>167</v>
      </c>
      <c r="D1890" s="9" t="s">
        <v>4683</v>
      </c>
      <c r="E1890" s="10" t="str">
        <f>HYPERLINK("https://twitter.com/La_Cerca/status/1064965454568046593","1064965454568046593")</f>
        <v>1064965454568046593</v>
      </c>
      <c r="F1890" s="11" t="s">
        <v>4684</v>
      </c>
      <c r="G1890" s="12"/>
      <c r="H1890" s="12"/>
      <c r="I1890" s="13">
        <v>0</v>
      </c>
      <c r="J1890" s="13">
        <v>0</v>
      </c>
      <c r="K1890" s="14" t="str">
        <f>HYPERLINK("http://www.lacerca.com","La Cerca")</f>
        <v>La Cerca</v>
      </c>
      <c r="L1890" s="13">
        <v>18963</v>
      </c>
      <c r="M1890" s="13">
        <v>4967</v>
      </c>
      <c r="N1890" s="13">
        <v>336</v>
      </c>
      <c r="O1890" s="18" t="s">
        <v>36</v>
      </c>
      <c r="P1890" s="6">
        <v>40007.429652777777</v>
      </c>
      <c r="Q1890" s="16" t="s">
        <v>171</v>
      </c>
      <c r="R1890" s="17" t="s">
        <v>172</v>
      </c>
      <c r="S1890" s="11" t="s">
        <v>173</v>
      </c>
      <c r="T1890" s="12"/>
      <c r="U1890" s="10" t="str">
        <f>HYPERLINK("https://pbs.twimg.com/profile_images/1046758213843111937/MFsiNfy0.jpg","View")</f>
        <v>View</v>
      </c>
    </row>
    <row r="1891" spans="1:21" ht="30.6">
      <c r="A1891" s="6">
        <v>43424.857337962967</v>
      </c>
      <c r="B1891" s="7" t="str">
        <f>HYPERLINK("https://twitter.com/lsanjose53","@lsanjose53")</f>
        <v>@lsanjose53</v>
      </c>
      <c r="C1891" s="8" t="s">
        <v>4690</v>
      </c>
      <c r="D1891" s="9" t="s">
        <v>4691</v>
      </c>
      <c r="E1891" s="10" t="str">
        <f>HYPERLINK("https://twitter.com/lsanjose53/status/1064965241602220032","1064965241602220032")</f>
        <v>1064965241602220032</v>
      </c>
      <c r="F1891" s="11" t="s">
        <v>4215</v>
      </c>
      <c r="G1891" s="12"/>
      <c r="H1891" s="12"/>
      <c r="I1891" s="13">
        <v>4</v>
      </c>
      <c r="J1891" s="13">
        <v>2</v>
      </c>
      <c r="K1891" s="14" t="str">
        <f t="shared" ref="K1891:K1892" si="404">HYPERLINK("http://twitter.com/download/android","Twitter for Android")</f>
        <v>Twitter for Android</v>
      </c>
      <c r="L1891" s="13">
        <v>766</v>
      </c>
      <c r="M1891" s="13">
        <v>1510</v>
      </c>
      <c r="N1891" s="13">
        <v>5</v>
      </c>
      <c r="O1891" s="15"/>
      <c r="P1891" s="6">
        <v>41794.810543981483</v>
      </c>
      <c r="Q1891" s="16" t="s">
        <v>2687</v>
      </c>
      <c r="R1891" s="17" t="s">
        <v>4694</v>
      </c>
      <c r="S1891" s="12"/>
      <c r="T1891" s="12"/>
      <c r="U1891" s="10" t="str">
        <f>HYPERLINK("https://pbs.twimg.com/profile_images/1063921412774215681/hN9WScDa.jpg","View")</f>
        <v>View</v>
      </c>
    </row>
    <row r="1892" spans="1:21" ht="20.399999999999999">
      <c r="A1892" s="6">
        <v>43424.855416666665</v>
      </c>
      <c r="B1892" s="7" t="str">
        <f>HYPERLINK("https://twitter.com/canaldirtenefe","@canaldirtenefe")</f>
        <v>@canaldirtenefe</v>
      </c>
      <c r="C1892" s="8" t="s">
        <v>7221</v>
      </c>
      <c r="D1892" s="9" t="s">
        <v>7222</v>
      </c>
      <c r="E1892" s="10" t="str">
        <f>HYPERLINK("https://twitter.com/canaldirtenefe/status/1064964545557475328","1064964545557475328")</f>
        <v>1064964545557475328</v>
      </c>
      <c r="F1892" s="11" t="s">
        <v>7223</v>
      </c>
      <c r="G1892" s="12"/>
      <c r="H1892" s="12"/>
      <c r="I1892" s="13">
        <v>0</v>
      </c>
      <c r="J1892" s="13">
        <v>0</v>
      </c>
      <c r="K1892" s="14" t="str">
        <f t="shared" si="404"/>
        <v>Twitter for Android</v>
      </c>
      <c r="L1892" s="13">
        <v>58</v>
      </c>
      <c r="M1892" s="13">
        <v>66</v>
      </c>
      <c r="N1892" s="13">
        <v>9</v>
      </c>
      <c r="O1892" s="15"/>
      <c r="P1892" s="6">
        <v>41531.884826388887</v>
      </c>
      <c r="Q1892" s="12"/>
      <c r="R1892" s="19"/>
      <c r="S1892" s="12"/>
      <c r="T1892" s="12"/>
      <c r="U1892" s="10" t="str">
        <f>HYPERLINK("https://pbs.twimg.com/profile_images/471754116515897344/tf0mJ_Ib.jpeg","View")</f>
        <v>View</v>
      </c>
    </row>
    <row r="1893" spans="1:21" ht="51">
      <c r="A1893" s="6">
        <v>43424.855150462958</v>
      </c>
      <c r="B1893" s="7" t="str">
        <f>HYPERLINK("https://twitter.com/VotaCiudadanos","@VotaCiudadanos")</f>
        <v>@VotaCiudadanos</v>
      </c>
      <c r="C1893" s="8" t="s">
        <v>1629</v>
      </c>
      <c r="D1893" s="9" t="s">
        <v>4695</v>
      </c>
      <c r="E1893" s="10" t="str">
        <f>HYPERLINK("https://twitter.com/VotaCiudadanos/status/1064964447939252225","1064964447939252225")</f>
        <v>1064964447939252225</v>
      </c>
      <c r="F1893" s="11" t="s">
        <v>4696</v>
      </c>
      <c r="G1893" s="12"/>
      <c r="H1893" s="12"/>
      <c r="I1893" s="13">
        <v>23</v>
      </c>
      <c r="J1893" s="13">
        <v>18</v>
      </c>
      <c r="K1893" s="14" t="str">
        <f>HYPERLINK("http://twitter.com","Twitter Web Client")</f>
        <v>Twitter Web Client</v>
      </c>
      <c r="L1893" s="13">
        <v>1870</v>
      </c>
      <c r="M1893" s="13">
        <v>198</v>
      </c>
      <c r="N1893" s="13">
        <v>26</v>
      </c>
      <c r="O1893" s="15"/>
      <c r="P1893" s="6">
        <v>42318.889432870375</v>
      </c>
      <c r="Q1893" s="16" t="s">
        <v>1635</v>
      </c>
      <c r="R1893" s="17" t="s">
        <v>1636</v>
      </c>
      <c r="S1893" s="11" t="s">
        <v>473</v>
      </c>
      <c r="T1893" s="12"/>
      <c r="U1893" s="10" t="str">
        <f>HYPERLINK("https://pbs.twimg.com/profile_images/948620265965215745/eZupLWK2.jpg","View")</f>
        <v>View</v>
      </c>
    </row>
    <row r="1894" spans="1:21" ht="51">
      <c r="A1894" s="6">
        <v>43424.854166666672</v>
      </c>
      <c r="B1894" s="7" t="str">
        <f>HYPERLINK("https://twitter.com/Cs_Asturias","@Cs_Asturias")</f>
        <v>@Cs_Asturias</v>
      </c>
      <c r="C1894" s="8" t="s">
        <v>4697</v>
      </c>
      <c r="D1894" s="9" t="s">
        <v>4698</v>
      </c>
      <c r="E1894" s="10" t="str">
        <f>HYPERLINK("https://twitter.com/Cs_Asturias/status/1064964092539084800","1064964092539084800")</f>
        <v>1064964092539084800</v>
      </c>
      <c r="F1894" s="12"/>
      <c r="G1894" s="11" t="s">
        <v>4701</v>
      </c>
      <c r="H1894" s="12"/>
      <c r="I1894" s="13">
        <v>11</v>
      </c>
      <c r="J1894" s="13">
        <v>12</v>
      </c>
      <c r="K1894" s="14" t="str">
        <f>HYPERLINK("https://studio.twitter.com","Media Studio")</f>
        <v>Media Studio</v>
      </c>
      <c r="L1894" s="13">
        <v>5700</v>
      </c>
      <c r="M1894" s="13">
        <v>1484</v>
      </c>
      <c r="N1894" s="13">
        <v>98</v>
      </c>
      <c r="O1894" s="18" t="s">
        <v>36</v>
      </c>
      <c r="P1894" s="6">
        <v>41704.560023148151</v>
      </c>
      <c r="Q1894" s="12"/>
      <c r="R1894" s="17" t="s">
        <v>4702</v>
      </c>
      <c r="S1894" s="11" t="s">
        <v>473</v>
      </c>
      <c r="T1894" s="12"/>
      <c r="U1894" s="10" t="str">
        <f>HYPERLINK("https://pbs.twimg.com/profile_images/1053409692960075776/pqztNRjY.jpg","View")</f>
        <v>View</v>
      </c>
    </row>
    <row r="1895" spans="1:21" ht="40.799999999999997">
      <c r="A1895" s="6">
        <v>43424.853402777779</v>
      </c>
      <c r="B1895" s="7" t="str">
        <f>HYPERLINK("https://twitter.com/AbaloneOrtega","@AbaloneOrtega")</f>
        <v>@AbaloneOrtega</v>
      </c>
      <c r="C1895" s="8" t="s">
        <v>7185</v>
      </c>
      <c r="D1895" s="9" t="s">
        <v>7224</v>
      </c>
      <c r="E1895" s="10" t="str">
        <f>HYPERLINK("https://twitter.com/AbaloneOrtega/status/1064963817002754048","1064963817002754048")</f>
        <v>1064963817002754048</v>
      </c>
      <c r="F1895" s="12"/>
      <c r="G1895" s="12"/>
      <c r="H1895" s="12"/>
      <c r="I1895" s="13">
        <v>63</v>
      </c>
      <c r="J1895" s="13">
        <v>93</v>
      </c>
      <c r="K1895" s="14" t="str">
        <f>HYPERLINK("http://twitter.com","Twitter Web Client")</f>
        <v>Twitter Web Client</v>
      </c>
      <c r="L1895" s="13">
        <v>4680</v>
      </c>
      <c r="M1895" s="13">
        <v>3694</v>
      </c>
      <c r="N1895" s="13">
        <v>51</v>
      </c>
      <c r="O1895" s="15"/>
      <c r="P1895" s="6">
        <v>41249.886354166665</v>
      </c>
      <c r="Q1895" s="12"/>
      <c r="R1895" s="17" t="s">
        <v>7187</v>
      </c>
      <c r="S1895" s="12"/>
      <c r="T1895" s="12"/>
      <c r="U1895" s="10" t="str">
        <f>HYPERLINK("https://pbs.twimg.com/profile_images/759803574951915524/50ydJhOx.jpg","View")</f>
        <v>View</v>
      </c>
    </row>
    <row r="1896" spans="1:21" ht="30.6">
      <c r="A1896" s="6">
        <v>43424.852870370371</v>
      </c>
      <c r="B1896" s="7" t="str">
        <f>HYPERLINK("https://twitter.com/noticias_cuatro","@noticias_cuatro")</f>
        <v>@noticias_cuatro</v>
      </c>
      <c r="C1896" s="8" t="s">
        <v>6490</v>
      </c>
      <c r="D1896" s="9" t="s">
        <v>7012</v>
      </c>
      <c r="E1896" s="10" t="str">
        <f>HYPERLINK("https://twitter.com/noticias_cuatro/status/1064963622785490946","1064963622785490946")</f>
        <v>1064963622785490946</v>
      </c>
      <c r="F1896" s="11" t="s">
        <v>7013</v>
      </c>
      <c r="G1896" s="11" t="s">
        <v>7225</v>
      </c>
      <c r="H1896" s="12"/>
      <c r="I1896" s="13">
        <v>1</v>
      </c>
      <c r="J1896" s="13">
        <v>1</v>
      </c>
      <c r="K1896" s="14" t="str">
        <f>HYPERLINK("https://about.twitter.com/products/tweetdeck","TweetDeck")</f>
        <v>TweetDeck</v>
      </c>
      <c r="L1896" s="13">
        <v>829655</v>
      </c>
      <c r="M1896" s="13">
        <v>618</v>
      </c>
      <c r="N1896" s="13">
        <v>4687</v>
      </c>
      <c r="O1896" s="18" t="s">
        <v>36</v>
      </c>
      <c r="P1896" s="6">
        <v>40015.475694444445</v>
      </c>
      <c r="Q1896" s="16" t="s">
        <v>6491</v>
      </c>
      <c r="R1896" s="17" t="s">
        <v>6492</v>
      </c>
      <c r="S1896" s="11" t="s">
        <v>6493</v>
      </c>
      <c r="T1896" s="12"/>
      <c r="U1896" s="10" t="str">
        <f>HYPERLINK("https://pbs.twimg.com/profile_images/912643474855473153/8biMgBID.jpg","View")</f>
        <v>View</v>
      </c>
    </row>
    <row r="1897" spans="1:21" ht="30.6">
      <c r="A1897" s="6">
        <v>43424.852650462963</v>
      </c>
      <c r="B1897" s="7" t="str">
        <f>HYPERLINK("https://twitter.com/laSextaTV","@laSextaTV")</f>
        <v>@laSextaTV</v>
      </c>
      <c r="C1897" s="8" t="s">
        <v>3083</v>
      </c>
      <c r="D1897" s="9" t="s">
        <v>7226</v>
      </c>
      <c r="E1897" s="10" t="str">
        <f>HYPERLINK("https://twitter.com/laSextaTV/status/1064963542724608000","1064963542724608000")</f>
        <v>1064963542724608000</v>
      </c>
      <c r="F1897" s="11" t="s">
        <v>7227</v>
      </c>
      <c r="G1897" s="12"/>
      <c r="H1897" s="12"/>
      <c r="I1897" s="13">
        <v>36</v>
      </c>
      <c r="J1897" s="13">
        <v>105</v>
      </c>
      <c r="K1897" s="14" t="str">
        <f>HYPERLINK("http://dogtrack.es","DogTrack_Oficial")</f>
        <v>DogTrack_Oficial</v>
      </c>
      <c r="L1897" s="13">
        <v>912520</v>
      </c>
      <c r="M1897" s="13">
        <v>304</v>
      </c>
      <c r="N1897" s="13">
        <v>5843</v>
      </c>
      <c r="O1897" s="18" t="s">
        <v>36</v>
      </c>
      <c r="P1897" s="6">
        <v>39877.804710648146</v>
      </c>
      <c r="Q1897" s="16" t="s">
        <v>1923</v>
      </c>
      <c r="R1897" s="17" t="s">
        <v>3090</v>
      </c>
      <c r="S1897" s="11" t="s">
        <v>3091</v>
      </c>
      <c r="T1897" s="12"/>
      <c r="U1897" s="10" t="str">
        <f>HYPERLINK("https://pbs.twimg.com/profile_images/898966361426231296/0sS0RzFh.jpg","View")</f>
        <v>View</v>
      </c>
    </row>
    <row r="1898" spans="1:21" ht="51">
      <c r="A1898" s="6">
        <v>43424.85256944444</v>
      </c>
      <c r="B1898" s="7" t="str">
        <f>HYPERLINK("https://twitter.com/indpcom","@indpcom")</f>
        <v>@indpcom</v>
      </c>
      <c r="C1898" s="8" t="s">
        <v>4706</v>
      </c>
      <c r="D1898" s="9" t="s">
        <v>4707</v>
      </c>
      <c r="E1898" s="10" t="str">
        <f>HYPERLINK("https://twitter.com/indpcom/status/1064963515730014208","1064963515730014208")</f>
        <v>1064963515730014208</v>
      </c>
      <c r="F1898" s="11" t="s">
        <v>4708</v>
      </c>
      <c r="G1898" s="12"/>
      <c r="H1898" s="12"/>
      <c r="I1898" s="13">
        <v>2</v>
      </c>
      <c r="J1898" s="13">
        <v>5</v>
      </c>
      <c r="K1898" s="14" t="str">
        <f>HYPERLINK("https://about.twitter.com/products/tweetdeck","TweetDeck")</f>
        <v>TweetDeck</v>
      </c>
      <c r="L1898" s="13">
        <v>57680</v>
      </c>
      <c r="M1898" s="13">
        <v>1302</v>
      </c>
      <c r="N1898" s="13">
        <v>1097</v>
      </c>
      <c r="O1898" s="18" t="s">
        <v>36</v>
      </c>
      <c r="P1898" s="6">
        <v>42537.702719907407</v>
      </c>
      <c r="Q1898" s="16" t="s">
        <v>118</v>
      </c>
      <c r="R1898" s="17" t="s">
        <v>4710</v>
      </c>
      <c r="S1898" s="11" t="s">
        <v>4711</v>
      </c>
      <c r="T1898" s="12"/>
      <c r="U1898" s="10" t="str">
        <f>HYPERLINK("https://pbs.twimg.com/profile_images/773807977069420544/o4tNI4zQ.jpg","View")</f>
        <v>View</v>
      </c>
    </row>
    <row r="1899" spans="1:21" ht="40.799999999999997">
      <c r="A1899" s="6">
        <v>43424.852465277778</v>
      </c>
      <c r="B1899" s="7" t="str">
        <f>HYPERLINK("https://twitter.com/enriquedediegov","@enriquedediegov")</f>
        <v>@enriquedediegov</v>
      </c>
      <c r="C1899" s="8" t="s">
        <v>6915</v>
      </c>
      <c r="D1899" s="9" t="s">
        <v>6984</v>
      </c>
      <c r="E1899" s="10" t="str">
        <f>HYPERLINK("https://twitter.com/enriquedediegov/status/1064963475070423040","1064963475070423040")</f>
        <v>1064963475070423040</v>
      </c>
      <c r="F1899" s="11" t="s">
        <v>7228</v>
      </c>
      <c r="G1899" s="12"/>
      <c r="H1899" s="12"/>
      <c r="I1899" s="13">
        <v>1</v>
      </c>
      <c r="J1899" s="13">
        <v>0</v>
      </c>
      <c r="K1899" s="14" t="str">
        <f t="shared" ref="K1899:K1900" si="405">HYPERLINK("http://twitter.com","Twitter Web Client")</f>
        <v>Twitter Web Client</v>
      </c>
      <c r="L1899" s="13">
        <v>7717</v>
      </c>
      <c r="M1899" s="13">
        <v>6025</v>
      </c>
      <c r="N1899" s="13">
        <v>180</v>
      </c>
      <c r="O1899" s="15"/>
      <c r="P1899" s="6">
        <v>41293.717129629629</v>
      </c>
      <c r="Q1899" s="16" t="s">
        <v>37</v>
      </c>
      <c r="R1899" s="17" t="s">
        <v>6919</v>
      </c>
      <c r="S1899" s="11" t="s">
        <v>6920</v>
      </c>
      <c r="T1899" s="12"/>
      <c r="U1899" s="10" t="str">
        <f>HYPERLINK("https://pbs.twimg.com/profile_images/3129623790/4ae197d01442e05dee4622297c3b9642.jpeg","View")</f>
        <v>View</v>
      </c>
    </row>
    <row r="1900" spans="1:21" ht="20.399999999999999">
      <c r="A1900" s="6">
        <v>43424.851261574076</v>
      </c>
      <c r="B1900" s="7" t="str">
        <f>HYPERLINK("https://twitter.com/rafaelbalaguer7","@rafaelbalaguer7")</f>
        <v>@rafaelbalaguer7</v>
      </c>
      <c r="C1900" s="8" t="s">
        <v>6383</v>
      </c>
      <c r="D1900" s="9" t="s">
        <v>7229</v>
      </c>
      <c r="E1900" s="10" t="str">
        <f>HYPERLINK("https://twitter.com/rafaelbalaguer7/status/1064963038355353600","1064963038355353600")</f>
        <v>1064963038355353600</v>
      </c>
      <c r="F1900" s="11" t="s">
        <v>7230</v>
      </c>
      <c r="G1900" s="12"/>
      <c r="H1900" s="12"/>
      <c r="I1900" s="13">
        <v>1</v>
      </c>
      <c r="J1900" s="13">
        <v>1</v>
      </c>
      <c r="K1900" s="14" t="str">
        <f t="shared" si="405"/>
        <v>Twitter Web Client</v>
      </c>
      <c r="L1900" s="13">
        <v>2467</v>
      </c>
      <c r="M1900" s="13">
        <v>2563</v>
      </c>
      <c r="N1900" s="13">
        <v>11</v>
      </c>
      <c r="O1900" s="15"/>
      <c r="P1900" s="6">
        <v>42244.710243055553</v>
      </c>
      <c r="Q1900" s="16" t="s">
        <v>6384</v>
      </c>
      <c r="R1900" s="17" t="s">
        <v>6385</v>
      </c>
      <c r="S1900" s="12"/>
      <c r="T1900" s="12"/>
      <c r="U1900" s="10" t="str">
        <f>HYPERLINK("https://pbs.twimg.com/profile_images/988782521973387264/4ki7Vu-I.jpg","View")</f>
        <v>View</v>
      </c>
    </row>
    <row r="1901" spans="1:21" ht="30.6">
      <c r="A1901" s="6">
        <v>43424.850891203707</v>
      </c>
      <c r="B1901" s="7" t="str">
        <f>HYPERLINK("https://twitter.com/lolica211288","@lolica211288")</f>
        <v>@lolica211288</v>
      </c>
      <c r="C1901" s="8" t="s">
        <v>7231</v>
      </c>
      <c r="D1901" s="9" t="s">
        <v>7232</v>
      </c>
      <c r="E1901" s="10" t="str">
        <f>HYPERLINK("https://twitter.com/lolica211288/status/1064962906184392705","1064962906184392705")</f>
        <v>1064962906184392705</v>
      </c>
      <c r="F1901" s="11" t="s">
        <v>4218</v>
      </c>
      <c r="G1901" s="12"/>
      <c r="H1901" s="12"/>
      <c r="I1901" s="13">
        <v>7</v>
      </c>
      <c r="J1901" s="13">
        <v>9</v>
      </c>
      <c r="K1901" s="14" t="str">
        <f>HYPERLINK("http://twitter.com/download/iphone","Twitter for iPhone")</f>
        <v>Twitter for iPhone</v>
      </c>
      <c r="L1901" s="13">
        <v>502</v>
      </c>
      <c r="M1901" s="13">
        <v>760</v>
      </c>
      <c r="N1901" s="13">
        <v>1</v>
      </c>
      <c r="O1901" s="15"/>
      <c r="P1901" s="6">
        <v>43135.496400462958</v>
      </c>
      <c r="Q1901" s="16" t="s">
        <v>37</v>
      </c>
      <c r="R1901" s="17" t="s">
        <v>7233</v>
      </c>
      <c r="S1901" s="12"/>
      <c r="T1901" s="12"/>
      <c r="U1901" s="10" t="str">
        <f>HYPERLINK("https://pbs.twimg.com/profile_images/960113282999902209/g1bMFn6g.jpg","View")</f>
        <v>View</v>
      </c>
    </row>
    <row r="1902" spans="1:21" ht="30.6">
      <c r="A1902" s="6">
        <v>43424.850844907407</v>
      </c>
      <c r="B1902" s="7" t="str">
        <f>HYPERLINK("https://twitter.com/JcsGalicia","@JcsGalicia")</f>
        <v>@JcsGalicia</v>
      </c>
      <c r="C1902" s="8" t="s">
        <v>274</v>
      </c>
      <c r="D1902" s="9" t="s">
        <v>4714</v>
      </c>
      <c r="E1902" s="10" t="str">
        <f>HYPERLINK("https://twitter.com/JcsGalicia/status/1064962889122029569","1064962889122029569")</f>
        <v>1064962889122029569</v>
      </c>
      <c r="F1902" s="12"/>
      <c r="G1902" s="11" t="s">
        <v>4716</v>
      </c>
      <c r="H1902" s="12"/>
      <c r="I1902" s="13">
        <v>5</v>
      </c>
      <c r="J1902" s="13">
        <v>4</v>
      </c>
      <c r="K1902" s="14" t="str">
        <f>HYPERLINK("http://twitter.com/download/android","Twitter for Android")</f>
        <v>Twitter for Android</v>
      </c>
      <c r="L1902" s="13">
        <v>658</v>
      </c>
      <c r="M1902" s="13">
        <v>511</v>
      </c>
      <c r="N1902" s="13">
        <v>1</v>
      </c>
      <c r="O1902" s="15"/>
      <c r="P1902" s="6">
        <v>43005.318553240737</v>
      </c>
      <c r="Q1902" s="12"/>
      <c r="R1902" s="17" t="s">
        <v>279</v>
      </c>
      <c r="S1902" s="12"/>
      <c r="T1902" s="12"/>
      <c r="U1902" s="10" t="str">
        <f>HYPERLINK("https://pbs.twimg.com/profile_images/1053554623733288960/m7VIj2qD.jpg","View")</f>
        <v>View</v>
      </c>
    </row>
    <row r="1903" spans="1:21" ht="30.6">
      <c r="A1903" s="6">
        <v>43424.850034722222</v>
      </c>
      <c r="B1903" s="7" t="str">
        <f t="shared" ref="B1903:B1904" si="406">HYPERLINK("https://twitter.com/ChonRoldanP","@ChonRoldanP")</f>
        <v>@ChonRoldanP</v>
      </c>
      <c r="C1903" s="8" t="s">
        <v>7234</v>
      </c>
      <c r="D1903" s="9" t="s">
        <v>7235</v>
      </c>
      <c r="E1903" s="10" t="str">
        <f>HYPERLINK("https://twitter.com/ChonRoldanP/status/1064962596921622540","1064962596921622540")</f>
        <v>1064962596921622540</v>
      </c>
      <c r="F1903" s="11" t="s">
        <v>4215</v>
      </c>
      <c r="G1903" s="12"/>
      <c r="H1903" s="12"/>
      <c r="I1903" s="13">
        <v>18</v>
      </c>
      <c r="J1903" s="13">
        <v>17</v>
      </c>
      <c r="K1903" s="14" t="str">
        <f t="shared" ref="K1903:K1904" si="407">HYPERLINK("http://twitter.com/download/iphone","Twitter for iPhone")</f>
        <v>Twitter for iPhone</v>
      </c>
      <c r="L1903" s="13">
        <v>3821</v>
      </c>
      <c r="M1903" s="13">
        <v>5001</v>
      </c>
      <c r="N1903" s="13">
        <v>166</v>
      </c>
      <c r="O1903" s="15"/>
      <c r="P1903" s="6">
        <v>42222.873981481476</v>
      </c>
      <c r="Q1903" s="12"/>
      <c r="R1903" s="17" t="s">
        <v>7236</v>
      </c>
      <c r="S1903" s="12"/>
      <c r="T1903" s="12"/>
      <c r="U1903" s="10" t="str">
        <f t="shared" ref="U1903:U1904" si="408">HYPERLINK("https://pbs.twimg.com/profile_images/1054476632470286336/uJm6NvoU.jpg","View")</f>
        <v>View</v>
      </c>
    </row>
    <row r="1904" spans="1:21" ht="30.6">
      <c r="A1904" s="6">
        <v>43424.849664351852</v>
      </c>
      <c r="B1904" s="7" t="str">
        <f t="shared" si="406"/>
        <v>@ChonRoldanP</v>
      </c>
      <c r="C1904" s="8" t="s">
        <v>7234</v>
      </c>
      <c r="D1904" s="9" t="s">
        <v>7237</v>
      </c>
      <c r="E1904" s="10" t="str">
        <f>HYPERLINK("https://twitter.com/ChonRoldanP/status/1064962459948236800","1064962459948236800")</f>
        <v>1064962459948236800</v>
      </c>
      <c r="F1904" s="11" t="s">
        <v>4218</v>
      </c>
      <c r="G1904" s="12"/>
      <c r="H1904" s="12"/>
      <c r="I1904" s="13">
        <v>10</v>
      </c>
      <c r="J1904" s="13">
        <v>7</v>
      </c>
      <c r="K1904" s="14" t="str">
        <f t="shared" si="407"/>
        <v>Twitter for iPhone</v>
      </c>
      <c r="L1904" s="13">
        <v>3821</v>
      </c>
      <c r="M1904" s="13">
        <v>5001</v>
      </c>
      <c r="N1904" s="13">
        <v>166</v>
      </c>
      <c r="O1904" s="15"/>
      <c r="P1904" s="6">
        <v>42222.873981481476</v>
      </c>
      <c r="Q1904" s="12"/>
      <c r="R1904" s="17" t="s">
        <v>7236</v>
      </c>
      <c r="S1904" s="12"/>
      <c r="T1904" s="12"/>
      <c r="U1904" s="10" t="str">
        <f t="shared" si="408"/>
        <v>View</v>
      </c>
    </row>
    <row r="1905" spans="1:21" ht="40.799999999999997">
      <c r="A1905" s="6">
        <v>43424.849317129629</v>
      </c>
      <c r="B1905" s="7" t="str">
        <f>HYPERLINK("https://twitter.com/ssussannacb","@ssussannacb")</f>
        <v>@ssussannacb</v>
      </c>
      <c r="C1905" s="8" t="s">
        <v>7238</v>
      </c>
      <c r="D1905" s="9" t="s">
        <v>7239</v>
      </c>
      <c r="E1905" s="10" t="str">
        <f>HYPERLINK("https://twitter.com/ssussannacb/status/1064962336325275648","1064962336325275648")</f>
        <v>1064962336325275648</v>
      </c>
      <c r="F1905" s="11" t="s">
        <v>4247</v>
      </c>
      <c r="G1905" s="12"/>
      <c r="H1905" s="12"/>
      <c r="I1905" s="13">
        <v>0</v>
      </c>
      <c r="J1905" s="13">
        <v>0</v>
      </c>
      <c r="K1905" s="14" t="str">
        <f>HYPERLINK("http://twitter.com/#!/download/ipad","Twitter for iPad")</f>
        <v>Twitter for iPad</v>
      </c>
      <c r="L1905" s="13">
        <v>172</v>
      </c>
      <c r="M1905" s="13">
        <v>465</v>
      </c>
      <c r="N1905" s="13">
        <v>5</v>
      </c>
      <c r="O1905" s="15"/>
      <c r="P1905" s="6">
        <v>40618.641192129631</v>
      </c>
      <c r="Q1905" s="16" t="s">
        <v>7240</v>
      </c>
      <c r="R1905" s="19"/>
      <c r="S1905" s="12"/>
      <c r="T1905" s="12"/>
      <c r="U1905" s="10" t="str">
        <f>HYPERLINK("https://pbs.twimg.com/profile_images/777576411196448769/qumkVJCM.jpg","View")</f>
        <v>View</v>
      </c>
    </row>
    <row r="1906" spans="1:21" ht="30.6">
      <c r="A1906" s="6">
        <v>43424.849189814813</v>
      </c>
      <c r="B1906" s="7" t="str">
        <f>HYPERLINK("https://twitter.com/ChonRoldanP","@ChonRoldanP")</f>
        <v>@ChonRoldanP</v>
      </c>
      <c r="C1906" s="8" t="s">
        <v>7234</v>
      </c>
      <c r="D1906" s="9" t="s">
        <v>7241</v>
      </c>
      <c r="E1906" s="10" t="str">
        <f>HYPERLINK("https://twitter.com/ChonRoldanP/status/1064962290972270593","1064962290972270593")</f>
        <v>1064962290972270593</v>
      </c>
      <c r="F1906" s="11" t="s">
        <v>4465</v>
      </c>
      <c r="G1906" s="12"/>
      <c r="H1906" s="12"/>
      <c r="I1906" s="13">
        <v>17</v>
      </c>
      <c r="J1906" s="13">
        <v>12</v>
      </c>
      <c r="K1906" s="14" t="str">
        <f>HYPERLINK("http://twitter.com/download/iphone","Twitter for iPhone")</f>
        <v>Twitter for iPhone</v>
      </c>
      <c r="L1906" s="13">
        <v>3821</v>
      </c>
      <c r="M1906" s="13">
        <v>5001</v>
      </c>
      <c r="N1906" s="13">
        <v>166</v>
      </c>
      <c r="O1906" s="15"/>
      <c r="P1906" s="6">
        <v>42222.873981481476</v>
      </c>
      <c r="Q1906" s="12"/>
      <c r="R1906" s="17" t="s">
        <v>7236</v>
      </c>
      <c r="S1906" s="12"/>
      <c r="T1906" s="12"/>
      <c r="U1906" s="10" t="str">
        <f>HYPERLINK("https://pbs.twimg.com/profile_images/1054476632470286336/uJm6NvoU.jpg","View")</f>
        <v>View</v>
      </c>
    </row>
    <row r="1907" spans="1:21" ht="40.799999999999997">
      <c r="A1907" s="6">
        <v>43424.848958333328</v>
      </c>
      <c r="B1907" s="7" t="str">
        <f>HYPERLINK("https://twitter.com/CR_Juanan","@CR_Juanan")</f>
        <v>@CR_Juanan</v>
      </c>
      <c r="C1907" s="8" t="s">
        <v>4720</v>
      </c>
      <c r="D1907" s="9" t="s">
        <v>4721</v>
      </c>
      <c r="E1907" s="10" t="str">
        <f>HYPERLINK("https://twitter.com/CR_Juanan/status/1064962203604922372","1064962203604922372")</f>
        <v>1064962203604922372</v>
      </c>
      <c r="F1907" s="11" t="s">
        <v>4215</v>
      </c>
      <c r="G1907" s="12"/>
      <c r="H1907" s="12"/>
      <c r="I1907" s="13">
        <v>5</v>
      </c>
      <c r="J1907" s="13">
        <v>6</v>
      </c>
      <c r="K1907" s="14" t="str">
        <f t="shared" ref="K1907:K1908" si="409">HYPERLINK("http://twitter.com/download/android","Twitter for Android")</f>
        <v>Twitter for Android</v>
      </c>
      <c r="L1907" s="13">
        <v>2321</v>
      </c>
      <c r="M1907" s="13">
        <v>2318</v>
      </c>
      <c r="N1907" s="13">
        <v>24</v>
      </c>
      <c r="O1907" s="15"/>
      <c r="P1907" s="6">
        <v>41339.717013888891</v>
      </c>
      <c r="Q1907" s="16" t="s">
        <v>496</v>
      </c>
      <c r="R1907" s="17" t="s">
        <v>4722</v>
      </c>
      <c r="S1907" s="11" t="s">
        <v>4723</v>
      </c>
      <c r="T1907" s="12"/>
      <c r="U1907" s="10" t="str">
        <f>HYPERLINK("https://pbs.twimg.com/profile_images/1008109390967332864/qA5x7qvY.jpg","View")</f>
        <v>View</v>
      </c>
    </row>
    <row r="1908" spans="1:21" ht="51">
      <c r="A1908" s="6">
        <v>43424.848935185189</v>
      </c>
      <c r="B1908" s="7" t="str">
        <f>HYPERLINK("https://twitter.com/joserram511961","@joserram511961")</f>
        <v>@joserram511961</v>
      </c>
      <c r="C1908" s="8" t="s">
        <v>4724</v>
      </c>
      <c r="D1908" s="9" t="s">
        <v>4725</v>
      </c>
      <c r="E1908" s="10" t="str">
        <f>HYPERLINK("https://twitter.com/joserram511961/status/1064962195476422656","1064962195476422656")</f>
        <v>1064962195476422656</v>
      </c>
      <c r="F1908" s="11" t="s">
        <v>4465</v>
      </c>
      <c r="G1908" s="12"/>
      <c r="H1908" s="12"/>
      <c r="I1908" s="13">
        <v>15</v>
      </c>
      <c r="J1908" s="13">
        <v>13</v>
      </c>
      <c r="K1908" s="14" t="str">
        <f t="shared" si="409"/>
        <v>Twitter for Android</v>
      </c>
      <c r="L1908" s="13">
        <v>1789</v>
      </c>
      <c r="M1908" s="13">
        <v>1933</v>
      </c>
      <c r="N1908" s="13">
        <v>22</v>
      </c>
      <c r="O1908" s="15"/>
      <c r="P1908" s="6">
        <v>42415.585266203707</v>
      </c>
      <c r="Q1908" s="16" t="s">
        <v>4726</v>
      </c>
      <c r="R1908" s="17" t="s">
        <v>4727</v>
      </c>
      <c r="S1908" s="12"/>
      <c r="T1908" s="12"/>
      <c r="U1908" s="10" t="str">
        <f>HYPERLINK("https://pbs.twimg.com/profile_images/1045414347911049216/CFQwdhsT.jpg","View")</f>
        <v>View</v>
      </c>
    </row>
    <row r="1909" spans="1:21" ht="20.399999999999999">
      <c r="A1909" s="6">
        <v>43424.848506944443</v>
      </c>
      <c r="B1909" s="7" t="str">
        <f>HYPERLINK("https://twitter.com/ACCESION1","@ACCESION1")</f>
        <v>@ACCESION1</v>
      </c>
      <c r="C1909" s="8" t="s">
        <v>5204</v>
      </c>
      <c r="D1909" s="9" t="s">
        <v>7242</v>
      </c>
      <c r="E1909" s="10" t="str">
        <f>HYPERLINK("https://twitter.com/ACCESION1/status/1064962040517799941","1064962040517799941")</f>
        <v>1064962040517799941</v>
      </c>
      <c r="F1909" s="11" t="s">
        <v>4215</v>
      </c>
      <c r="G1909" s="12"/>
      <c r="H1909" s="12"/>
      <c r="I1909" s="13">
        <v>1</v>
      </c>
      <c r="J1909" s="13">
        <v>2</v>
      </c>
      <c r="K1909" s="14" t="str">
        <f>HYPERLINK("http://twitter.com","Twitter Web Client")</f>
        <v>Twitter Web Client</v>
      </c>
      <c r="L1909" s="13">
        <v>1701</v>
      </c>
      <c r="M1909" s="13">
        <v>4996</v>
      </c>
      <c r="N1909" s="13">
        <v>0</v>
      </c>
      <c r="O1909" s="15"/>
      <c r="P1909" s="6">
        <v>43309.753414351857</v>
      </c>
      <c r="Q1909" s="16" t="s">
        <v>37</v>
      </c>
      <c r="R1909" s="19"/>
      <c r="S1909" s="12"/>
      <c r="T1909" s="12"/>
      <c r="U1909" s="10" t="str">
        <f>HYPERLINK("https://pbs.twimg.com/profile_images/1023243335765508096/Jv0xYxir.jpg","View")</f>
        <v>View</v>
      </c>
    </row>
    <row r="1910" spans="1:21" ht="40.799999999999997">
      <c r="A1910" s="6">
        <v>43424.848368055551</v>
      </c>
      <c r="B1910" s="7" t="str">
        <f>HYPERLINK("https://twitter.com/HugoMaldonado","@HugoMaldonado")</f>
        <v>@HugoMaldonado</v>
      </c>
      <c r="C1910" s="8" t="s">
        <v>6392</v>
      </c>
      <c r="D1910" s="9" t="s">
        <v>7243</v>
      </c>
      <c r="E1910" s="10" t="str">
        <f>HYPERLINK("https://twitter.com/HugoMaldonado/status/1064961992362999808","1064961992362999808")</f>
        <v>1064961992362999808</v>
      </c>
      <c r="F1910" s="11" t="s">
        <v>4465</v>
      </c>
      <c r="G1910" s="12"/>
      <c r="H1910" s="12"/>
      <c r="I1910" s="13">
        <v>0</v>
      </c>
      <c r="J1910" s="13">
        <v>0</v>
      </c>
      <c r="K1910" s="14" t="str">
        <f>HYPERLINK("http://twitter.com/download/iphone","Twitter for iPhone")</f>
        <v>Twitter for iPhone</v>
      </c>
      <c r="L1910" s="13">
        <v>451</v>
      </c>
      <c r="M1910" s="13">
        <v>404</v>
      </c>
      <c r="N1910" s="13">
        <v>16</v>
      </c>
      <c r="O1910" s="15"/>
      <c r="P1910" s="6">
        <v>39941.769085648149</v>
      </c>
      <c r="Q1910" s="16" t="s">
        <v>6393</v>
      </c>
      <c r="R1910" s="17" t="s">
        <v>6394</v>
      </c>
      <c r="S1910" s="11" t="s">
        <v>394</v>
      </c>
      <c r="T1910" s="12"/>
      <c r="U1910" s="10" t="str">
        <f>HYPERLINK("https://pbs.twimg.com/profile_images/609274642650505216/Tk2PbHWE.jpg","View")</f>
        <v>View</v>
      </c>
    </row>
    <row r="1911" spans="1:21" ht="20.399999999999999">
      <c r="A1911" s="6">
        <v>43424.847627314812</v>
      </c>
      <c r="B1911" s="7" t="str">
        <f>HYPERLINK("https://twitter.com/amigo_conductor","@amigo_conductor")</f>
        <v>@amigo_conductor</v>
      </c>
      <c r="C1911" s="8" t="s">
        <v>7244</v>
      </c>
      <c r="D1911" s="9" t="s">
        <v>7245</v>
      </c>
      <c r="E1911" s="10" t="str">
        <f>HYPERLINK("https://twitter.com/amigo_conductor/status/1064961723285745664","1064961723285745664")</f>
        <v>1064961723285745664</v>
      </c>
      <c r="F1911" s="11" t="s">
        <v>7246</v>
      </c>
      <c r="G1911" s="11" t="s">
        <v>7247</v>
      </c>
      <c r="H1911" s="12"/>
      <c r="I1911" s="13">
        <v>0</v>
      </c>
      <c r="J1911" s="13">
        <v>0</v>
      </c>
      <c r="K1911" s="14" t="str">
        <f>HYPERLINK("https://dlvrit.com/","dlvr.it")</f>
        <v>dlvr.it</v>
      </c>
      <c r="L1911" s="13">
        <v>4</v>
      </c>
      <c r="M1911" s="13">
        <v>14</v>
      </c>
      <c r="N1911" s="13">
        <v>0</v>
      </c>
      <c r="O1911" s="15"/>
      <c r="P1911" s="6">
        <v>41647.67386574074</v>
      </c>
      <c r="Q1911" s="12"/>
      <c r="R1911" s="17" t="s">
        <v>7248</v>
      </c>
      <c r="S1911" s="12"/>
      <c r="T1911" s="12"/>
      <c r="U1911" s="10" t="str">
        <f>HYPERLINK("https://pbs.twimg.com/profile_images/420935958712696832/mqPeuUHo.jpeg","View")</f>
        <v>View</v>
      </c>
    </row>
    <row r="1912" spans="1:21" ht="51">
      <c r="A1912" s="6">
        <v>43424.84756944445</v>
      </c>
      <c r="B1912" s="7" t="str">
        <f>HYPERLINK("https://twitter.com/MAQUIAVELA3","@MAQUIAVELA3")</f>
        <v>@MAQUIAVELA3</v>
      </c>
      <c r="C1912" s="8" t="s">
        <v>5053</v>
      </c>
      <c r="D1912" s="9" t="s">
        <v>7249</v>
      </c>
      <c r="E1912" s="10" t="str">
        <f>HYPERLINK("https://twitter.com/MAQUIAVELA3/status/1064961702142328832","1064961702142328832")</f>
        <v>1064961702142328832</v>
      </c>
      <c r="F1912" s="11" t="s">
        <v>4465</v>
      </c>
      <c r="G1912" s="12"/>
      <c r="H1912" s="12"/>
      <c r="I1912" s="13">
        <v>3</v>
      </c>
      <c r="J1912" s="13">
        <v>3</v>
      </c>
      <c r="K1912" s="14" t="str">
        <f>HYPERLINK("http://twitter.com/download/iphone","Twitter for iPhone")</f>
        <v>Twitter for iPhone</v>
      </c>
      <c r="L1912" s="13">
        <v>1095</v>
      </c>
      <c r="M1912" s="13">
        <v>1150</v>
      </c>
      <c r="N1912" s="13">
        <v>3</v>
      </c>
      <c r="O1912" s="15"/>
      <c r="P1912" s="6">
        <v>43099.555763888886</v>
      </c>
      <c r="Q1912" s="16" t="s">
        <v>5056</v>
      </c>
      <c r="R1912" s="17" t="s">
        <v>5057</v>
      </c>
      <c r="S1912" s="12"/>
      <c r="T1912" s="12"/>
      <c r="U1912" s="10" t="str">
        <f>HYPERLINK("https://pbs.twimg.com/profile_images/1039864818130399233/-JjB89k5.jpg","View")</f>
        <v>View</v>
      </c>
    </row>
    <row r="1913" spans="1:21" ht="13.2">
      <c r="A1913" s="6">
        <v>43424.847430555557</v>
      </c>
      <c r="B1913" s="7" t="str">
        <f>HYPERLINK("https://twitter.com/Galegojuve","@Galegojuve")</f>
        <v>@Galegojuve</v>
      </c>
      <c r="C1913" s="8" t="s">
        <v>7250</v>
      </c>
      <c r="D1913" s="9" t="s">
        <v>7251</v>
      </c>
      <c r="E1913" s="10" t="str">
        <f>HYPERLINK("https://twitter.com/Galegojuve/status/1064961651907137541","1064961651907137541")</f>
        <v>1064961651907137541</v>
      </c>
      <c r="F1913" s="11" t="s">
        <v>7223</v>
      </c>
      <c r="G1913" s="12"/>
      <c r="H1913" s="12"/>
      <c r="I1913" s="13">
        <v>0</v>
      </c>
      <c r="J1913" s="13">
        <v>0</v>
      </c>
      <c r="K1913" s="14" t="str">
        <f>HYPERLINK("http://twitter.com","Twitter Web Client")</f>
        <v>Twitter Web Client</v>
      </c>
      <c r="L1913" s="13">
        <v>31</v>
      </c>
      <c r="M1913" s="13">
        <v>95</v>
      </c>
      <c r="N1913" s="13">
        <v>0</v>
      </c>
      <c r="O1913" s="15"/>
      <c r="P1913" s="6">
        <v>42766.695104166662</v>
      </c>
      <c r="Q1913" s="16" t="s">
        <v>6388</v>
      </c>
      <c r="R1913" s="17" t="s">
        <v>7252</v>
      </c>
      <c r="S1913" s="12"/>
      <c r="T1913" s="12"/>
      <c r="U1913" s="10" t="str">
        <f>HYPERLINK("https://pbs.twimg.com/profile_images/938190444164415488/0o_Vo4R6.jpg","View")</f>
        <v>View</v>
      </c>
    </row>
    <row r="1914" spans="1:21" ht="51">
      <c r="A1914" s="6">
        <v>43424.846342592587</v>
      </c>
      <c r="B1914" s="7" t="str">
        <f>HYPERLINK("https://twitter.com/Maxferibar","@Maxferibar")</f>
        <v>@Maxferibar</v>
      </c>
      <c r="C1914" s="8" t="s">
        <v>142</v>
      </c>
      <c r="D1914" s="9" t="s">
        <v>143</v>
      </c>
      <c r="E1914" s="10" t="str">
        <f>HYPERLINK("https://twitter.com/Maxferibar/status/1064961257688756224","1064961257688756224")</f>
        <v>1064961257688756224</v>
      </c>
      <c r="F1914" s="11" t="s">
        <v>144</v>
      </c>
      <c r="G1914" s="12"/>
      <c r="H1914" s="12"/>
      <c r="I1914" s="13">
        <v>24</v>
      </c>
      <c r="J1914" s="13">
        <v>14</v>
      </c>
      <c r="K1914" s="14" t="str">
        <f>HYPERLINK("http://twitter.com/download/android","Twitter for Android")</f>
        <v>Twitter for Android</v>
      </c>
      <c r="L1914" s="13">
        <v>3469</v>
      </c>
      <c r="M1914" s="13">
        <v>1601</v>
      </c>
      <c r="N1914" s="13">
        <v>46</v>
      </c>
      <c r="O1914" s="15"/>
      <c r="P1914" s="6">
        <v>41288.97729166667</v>
      </c>
      <c r="Q1914" s="16" t="s">
        <v>148</v>
      </c>
      <c r="R1914" s="17" t="s">
        <v>149</v>
      </c>
      <c r="S1914" s="12"/>
      <c r="T1914" s="12"/>
      <c r="U1914" s="10" t="str">
        <f>HYPERLINK("https://pbs.twimg.com/profile_images/983947451563433984/lHuT-zPy.jpg","View")</f>
        <v>View</v>
      </c>
    </row>
    <row r="1915" spans="1:21" ht="20.399999999999999">
      <c r="A1915" s="6">
        <v>43424.846145833333</v>
      </c>
      <c r="B1915" s="7" t="str">
        <f>HYPERLINK("https://twitter.com/ACCESION1","@ACCESION1")</f>
        <v>@ACCESION1</v>
      </c>
      <c r="C1915" s="8" t="s">
        <v>5204</v>
      </c>
      <c r="D1915" s="9" t="s">
        <v>7253</v>
      </c>
      <c r="E1915" s="10" t="str">
        <f>HYPERLINK("https://twitter.com/ACCESION1/status/1064961187606081536","1064961187606081536")</f>
        <v>1064961187606081536</v>
      </c>
      <c r="F1915" s="11" t="s">
        <v>4218</v>
      </c>
      <c r="G1915" s="12"/>
      <c r="H1915" s="12"/>
      <c r="I1915" s="13">
        <v>2</v>
      </c>
      <c r="J1915" s="13">
        <v>2</v>
      </c>
      <c r="K1915" s="14" t="str">
        <f>HYPERLINK("http://twitter.com","Twitter Web Client")</f>
        <v>Twitter Web Client</v>
      </c>
      <c r="L1915" s="13">
        <v>1701</v>
      </c>
      <c r="M1915" s="13">
        <v>4996</v>
      </c>
      <c r="N1915" s="13">
        <v>0</v>
      </c>
      <c r="O1915" s="15"/>
      <c r="P1915" s="6">
        <v>43309.753414351857</v>
      </c>
      <c r="Q1915" s="16" t="s">
        <v>37</v>
      </c>
      <c r="R1915" s="19"/>
      <c r="S1915" s="12"/>
      <c r="T1915" s="12"/>
      <c r="U1915" s="10" t="str">
        <f>HYPERLINK("https://pbs.twimg.com/profile_images/1023243335765508096/Jv0xYxir.jpg","View")</f>
        <v>View</v>
      </c>
    </row>
    <row r="1916" spans="1:21" ht="51">
      <c r="A1916" s="6">
        <v>43424.846018518518</v>
      </c>
      <c r="B1916" s="7" t="str">
        <f>HYPERLINK("https://twitter.com/Sediarte","@Sediarte")</f>
        <v>@Sediarte</v>
      </c>
      <c r="C1916" s="8" t="s">
        <v>4728</v>
      </c>
      <c r="D1916" s="9" t="s">
        <v>4729</v>
      </c>
      <c r="E1916" s="10" t="str">
        <f>HYPERLINK("https://twitter.com/Sediarte/status/1064961138327207941","1064961138327207941")</f>
        <v>1064961138327207941</v>
      </c>
      <c r="F1916" s="12"/>
      <c r="G1916" s="12"/>
      <c r="H1916" s="12"/>
      <c r="I1916" s="13">
        <v>0</v>
      </c>
      <c r="J1916" s="13">
        <v>0</v>
      </c>
      <c r="K1916" s="14" t="str">
        <f>HYPERLINK("http://twitter.com/download/android","Twitter for Android")</f>
        <v>Twitter for Android</v>
      </c>
      <c r="L1916" s="13">
        <v>345</v>
      </c>
      <c r="M1916" s="13">
        <v>1238</v>
      </c>
      <c r="N1916" s="13">
        <v>28</v>
      </c>
      <c r="O1916" s="15"/>
      <c r="P1916" s="6">
        <v>40885.046053240745</v>
      </c>
      <c r="Q1916" s="12"/>
      <c r="R1916" s="17" t="s">
        <v>4730</v>
      </c>
      <c r="S1916" s="12"/>
      <c r="T1916" s="12"/>
      <c r="U1916" s="10" t="str">
        <f>HYPERLINK("https://pbs.twimg.com/profile_images/1756849442/SediarteLogo2.jpg","View")</f>
        <v>View</v>
      </c>
    </row>
    <row r="1917" spans="1:21" ht="51">
      <c r="A1917" s="6">
        <v>43424.845590277779</v>
      </c>
      <c r="B1917" s="7" t="str">
        <f>HYPERLINK("https://twitter.com/Ismaelescuincs","@Ismaelescuincs")</f>
        <v>@Ismaelescuincs</v>
      </c>
      <c r="C1917" s="8" t="s">
        <v>4731</v>
      </c>
      <c r="D1917" s="9" t="s">
        <v>4732</v>
      </c>
      <c r="E1917" s="10" t="str">
        <f>HYPERLINK("https://twitter.com/Ismaelescuincs/status/1064960986506059776","1064960986506059776")</f>
        <v>1064960986506059776</v>
      </c>
      <c r="F1917" s="12"/>
      <c r="G1917" s="11" t="s">
        <v>4735</v>
      </c>
      <c r="H1917" s="12"/>
      <c r="I1917" s="13">
        <v>21</v>
      </c>
      <c r="J1917" s="13">
        <v>19</v>
      </c>
      <c r="K1917" s="14" t="str">
        <f>HYPERLINK("http://twitter.com/download/iphone","Twitter for iPhone")</f>
        <v>Twitter for iPhone</v>
      </c>
      <c r="L1917" s="13">
        <v>1095</v>
      </c>
      <c r="M1917" s="13">
        <v>1152</v>
      </c>
      <c r="N1917" s="13">
        <v>1</v>
      </c>
      <c r="O1917" s="15"/>
      <c r="P1917" s="6">
        <v>43085.040821759263</v>
      </c>
      <c r="Q1917" s="16" t="s">
        <v>4736</v>
      </c>
      <c r="R1917" s="17" t="s">
        <v>4737</v>
      </c>
      <c r="S1917" s="11" t="s">
        <v>4738</v>
      </c>
      <c r="T1917" s="12"/>
      <c r="U1917" s="10" t="str">
        <f>HYPERLINK("https://pbs.twimg.com/profile_images/1041730517530492928/JLvy_OFv.jpg","View")</f>
        <v>View</v>
      </c>
    </row>
    <row r="1918" spans="1:21" ht="30.6">
      <c r="A1918" s="6">
        <v>43424.844976851848</v>
      </c>
      <c r="B1918" s="7" t="str">
        <f>HYPERLINK("https://twitter.com/Tesa29053098","@Tesa29053098")</f>
        <v>@Tesa29053098</v>
      </c>
      <c r="C1918" s="8" t="s">
        <v>7254</v>
      </c>
      <c r="D1918" s="9" t="s">
        <v>7255</v>
      </c>
      <c r="E1918" s="10" t="str">
        <f>HYPERLINK("https://twitter.com/Tesa29053098/status/1064960760693080064","1064960760693080064")</f>
        <v>1064960760693080064</v>
      </c>
      <c r="F1918" s="12"/>
      <c r="G1918" s="11" t="s">
        <v>7256</v>
      </c>
      <c r="H1918" s="12"/>
      <c r="I1918" s="13">
        <v>178</v>
      </c>
      <c r="J1918" s="13">
        <v>125</v>
      </c>
      <c r="K1918" s="14" t="str">
        <f>HYPERLINK("http://twitter.com/download/android","Twitter for Android")</f>
        <v>Twitter for Android</v>
      </c>
      <c r="L1918" s="13">
        <v>6946</v>
      </c>
      <c r="M1918" s="13">
        <v>4609</v>
      </c>
      <c r="N1918" s="13">
        <v>25</v>
      </c>
      <c r="O1918" s="15"/>
      <c r="P1918" s="6">
        <v>42911.874386574069</v>
      </c>
      <c r="Q1918" s="16" t="s">
        <v>7257</v>
      </c>
      <c r="R1918" s="17" t="s">
        <v>7258</v>
      </c>
      <c r="S1918" s="12"/>
      <c r="T1918" s="12"/>
      <c r="U1918" s="10" t="str">
        <f>HYPERLINK("https://pbs.twimg.com/profile_images/1004644069119840256/P1vsnRTZ.jpg","View")</f>
        <v>View</v>
      </c>
    </row>
    <row r="1919" spans="1:21" ht="30.6">
      <c r="A1919" s="6">
        <v>43424.844664351855</v>
      </c>
      <c r="B1919" s="7" t="str">
        <f>HYPERLINK("https://twitter.com/MCaceresMari","@MCaceresMari")</f>
        <v>@MCaceresMari</v>
      </c>
      <c r="C1919" s="8" t="s">
        <v>7259</v>
      </c>
      <c r="D1919" s="9" t="s">
        <v>7004</v>
      </c>
      <c r="E1919" s="10" t="str">
        <f>HYPERLINK("https://twitter.com/MCaceresMari/status/1064960648889671680","1064960648889671680")</f>
        <v>1064960648889671680</v>
      </c>
      <c r="F1919" s="11" t="s">
        <v>4465</v>
      </c>
      <c r="G1919" s="12"/>
      <c r="H1919" s="12"/>
      <c r="I1919" s="13">
        <v>0</v>
      </c>
      <c r="J1919" s="13">
        <v>0</v>
      </c>
      <c r="K1919" s="14" t="str">
        <f>HYPERLINK("http://twitter.com","Twitter Web Client")</f>
        <v>Twitter Web Client</v>
      </c>
      <c r="L1919" s="13">
        <v>167</v>
      </c>
      <c r="M1919" s="13">
        <v>172</v>
      </c>
      <c r="N1919" s="13">
        <v>4</v>
      </c>
      <c r="O1919" s="15"/>
      <c r="P1919" s="6">
        <v>42328.69913194445</v>
      </c>
      <c r="Q1919" s="16" t="s">
        <v>118</v>
      </c>
      <c r="R1919" s="17" t="s">
        <v>7260</v>
      </c>
      <c r="S1919" s="12"/>
      <c r="T1919" s="12"/>
      <c r="U1919" s="10" t="str">
        <f>HYPERLINK("https://pbs.twimg.com/profile_images/1063900876820160512/BV1TuitY.jpg","View")</f>
        <v>View</v>
      </c>
    </row>
    <row r="1920" spans="1:21" ht="40.799999999999997">
      <c r="A1920" s="6">
        <v>43424.844583333332</v>
      </c>
      <c r="B1920" s="7" t="str">
        <f>HYPERLINK("https://twitter.com/CR_Juanan","@CR_Juanan")</f>
        <v>@CR_Juanan</v>
      </c>
      <c r="C1920" s="8" t="s">
        <v>4720</v>
      </c>
      <c r="D1920" s="9" t="s">
        <v>4743</v>
      </c>
      <c r="E1920" s="10" t="str">
        <f>HYPERLINK("https://twitter.com/CR_Juanan/status/1064960620410347520","1064960620410347520")</f>
        <v>1064960620410347520</v>
      </c>
      <c r="F1920" s="11" t="s">
        <v>4218</v>
      </c>
      <c r="G1920" s="12"/>
      <c r="H1920" s="12"/>
      <c r="I1920" s="13">
        <v>4</v>
      </c>
      <c r="J1920" s="13">
        <v>5</v>
      </c>
      <c r="K1920" s="14" t="str">
        <f>HYPERLINK("http://twitter.com/download/android","Twitter for Android")</f>
        <v>Twitter for Android</v>
      </c>
      <c r="L1920" s="13">
        <v>2321</v>
      </c>
      <c r="M1920" s="13">
        <v>2318</v>
      </c>
      <c r="N1920" s="13">
        <v>24</v>
      </c>
      <c r="O1920" s="15"/>
      <c r="P1920" s="6">
        <v>41339.717013888891</v>
      </c>
      <c r="Q1920" s="16" t="s">
        <v>496</v>
      </c>
      <c r="R1920" s="17" t="s">
        <v>4722</v>
      </c>
      <c r="S1920" s="11" t="s">
        <v>4723</v>
      </c>
      <c r="T1920" s="12"/>
      <c r="U1920" s="10" t="str">
        <f>HYPERLINK("https://pbs.twimg.com/profile_images/1008109390967332864/qA5x7qvY.jpg","View")</f>
        <v>View</v>
      </c>
    </row>
    <row r="1921" spans="1:21" ht="51">
      <c r="A1921" s="6">
        <v>43424.844224537039</v>
      </c>
      <c r="B1921" s="7" t="str">
        <f>HYPERLINK("https://twitter.com/MIQUELLARA","@MIQUELLARA")</f>
        <v>@MIQUELLARA</v>
      </c>
      <c r="C1921" s="8" t="s">
        <v>7261</v>
      </c>
      <c r="D1921" s="9" t="s">
        <v>7262</v>
      </c>
      <c r="E1921" s="10" t="str">
        <f>HYPERLINK("https://twitter.com/MIQUELLARA/status/1064960490957402112","1064960490957402112")</f>
        <v>1064960490957402112</v>
      </c>
      <c r="F1921" s="11" t="s">
        <v>7223</v>
      </c>
      <c r="G1921" s="12"/>
      <c r="H1921" s="12"/>
      <c r="I1921" s="13">
        <v>1</v>
      </c>
      <c r="J1921" s="13">
        <v>0</v>
      </c>
      <c r="K1921" s="14" t="str">
        <f>HYPERLINK("http://twitter.com","Twitter Web Client")</f>
        <v>Twitter Web Client</v>
      </c>
      <c r="L1921" s="13">
        <v>10206</v>
      </c>
      <c r="M1921" s="13">
        <v>11223</v>
      </c>
      <c r="N1921" s="13">
        <v>151</v>
      </c>
      <c r="O1921" s="15"/>
      <c r="P1921" s="6">
        <v>40216.813333333332</v>
      </c>
      <c r="Q1921" s="16" t="s">
        <v>7263</v>
      </c>
      <c r="R1921" s="17" t="s">
        <v>7264</v>
      </c>
      <c r="S1921" s="12"/>
      <c r="T1921" s="12"/>
      <c r="U1921" s="10" t="str">
        <f>HYPERLINK("https://pbs.twimg.com/profile_images/926548072229953536/8Ehr2KOx.jpg","View")</f>
        <v>View</v>
      </c>
    </row>
    <row r="1922" spans="1:21" ht="20.399999999999999">
      <c r="A1922" s="6">
        <v>43424.84375</v>
      </c>
      <c r="B1922" s="7" t="str">
        <f>HYPERLINK("https://twitter.com/En_Blau_es","@En_Blau_es")</f>
        <v>@En_Blau_es</v>
      </c>
      <c r="C1922" s="8" t="s">
        <v>4747</v>
      </c>
      <c r="D1922" s="9" t="s">
        <v>4749</v>
      </c>
      <c r="E1922" s="10" t="str">
        <f>HYPERLINK("https://twitter.com/En_Blau_es/status/1064960318680502273","1064960318680502273")</f>
        <v>1064960318680502273</v>
      </c>
      <c r="F1922" s="11" t="s">
        <v>4487</v>
      </c>
      <c r="G1922" s="12"/>
      <c r="H1922" s="12"/>
      <c r="I1922" s="13">
        <v>0</v>
      </c>
      <c r="J1922" s="13">
        <v>0</v>
      </c>
      <c r="K1922" s="14" t="str">
        <f>HYPERLINK("https://about.twitter.com/products/tweetdeck","TweetDeck")</f>
        <v>TweetDeck</v>
      </c>
      <c r="L1922" s="13">
        <v>386</v>
      </c>
      <c r="M1922" s="13">
        <v>98</v>
      </c>
      <c r="N1922" s="13">
        <v>4</v>
      </c>
      <c r="O1922" s="15"/>
      <c r="P1922" s="6">
        <v>42824.566701388889</v>
      </c>
      <c r="Q1922" s="12"/>
      <c r="R1922" s="19"/>
      <c r="S1922" s="11" t="s">
        <v>4750</v>
      </c>
      <c r="T1922" s="12"/>
      <c r="U1922" s="10" t="str">
        <f>HYPERLINK("https://pbs.twimg.com/profile_images/849621382346534912/rD-7feps.jpg","View")</f>
        <v>View</v>
      </c>
    </row>
    <row r="1923" spans="1:21" ht="51">
      <c r="A1923" s="6">
        <v>43424.84375</v>
      </c>
      <c r="B1923" s="7" t="str">
        <f>HYPERLINK("https://twitter.com/Cs_Asturias","@Cs_Asturias")</f>
        <v>@Cs_Asturias</v>
      </c>
      <c r="C1923" s="8" t="s">
        <v>4697</v>
      </c>
      <c r="D1923" s="9" t="s">
        <v>4751</v>
      </c>
      <c r="E1923" s="10" t="str">
        <f>HYPERLINK("https://twitter.com/Cs_Asturias/status/1064960317669675008","1064960317669675008")</f>
        <v>1064960317669675008</v>
      </c>
      <c r="F1923" s="12"/>
      <c r="G1923" s="11" t="s">
        <v>4752</v>
      </c>
      <c r="H1923" s="12"/>
      <c r="I1923" s="13">
        <v>3</v>
      </c>
      <c r="J1923" s="13">
        <v>5</v>
      </c>
      <c r="K1923" s="14" t="str">
        <f>HYPERLINK("https://studio.twitter.com","Media Studio")</f>
        <v>Media Studio</v>
      </c>
      <c r="L1923" s="13">
        <v>5700</v>
      </c>
      <c r="M1923" s="13">
        <v>1484</v>
      </c>
      <c r="N1923" s="13">
        <v>98</v>
      </c>
      <c r="O1923" s="18" t="s">
        <v>36</v>
      </c>
      <c r="P1923" s="6">
        <v>41704.560023148151</v>
      </c>
      <c r="Q1923" s="12"/>
      <c r="R1923" s="17" t="s">
        <v>4702</v>
      </c>
      <c r="S1923" s="11" t="s">
        <v>473</v>
      </c>
      <c r="T1923" s="12"/>
      <c r="U1923" s="10" t="str">
        <f>HYPERLINK("https://pbs.twimg.com/profile_images/1053409692960075776/pqztNRjY.jpg","View")</f>
        <v>View</v>
      </c>
    </row>
    <row r="1924" spans="1:21" ht="20.399999999999999">
      <c r="A1924" s="6">
        <v>43424.84375</v>
      </c>
      <c r="B1924" s="7" t="str">
        <f>HYPERLINK("https://twitter.com/en_blau","@en_blau")</f>
        <v>@en_blau</v>
      </c>
      <c r="C1924" s="8" t="s">
        <v>4753</v>
      </c>
      <c r="D1924" s="9" t="s">
        <v>4754</v>
      </c>
      <c r="E1924" s="10" t="str">
        <f>HYPERLINK("https://twitter.com/en_blau/status/1064960317501763584","1064960317501763584")</f>
        <v>1064960317501763584</v>
      </c>
      <c r="F1924" s="11" t="s">
        <v>4508</v>
      </c>
      <c r="G1924" s="12"/>
      <c r="H1924" s="12"/>
      <c r="I1924" s="13">
        <v>0</v>
      </c>
      <c r="J1924" s="13">
        <v>0</v>
      </c>
      <c r="K1924" s="14" t="str">
        <f>HYPERLINK("https://about.twitter.com/products/tweetdeck","TweetDeck")</f>
        <v>TweetDeck</v>
      </c>
      <c r="L1924" s="13">
        <v>2571</v>
      </c>
      <c r="M1924" s="13">
        <v>104</v>
      </c>
      <c r="N1924" s="13">
        <v>16</v>
      </c>
      <c r="O1924" s="15"/>
      <c r="P1924" s="6">
        <v>42732.798738425925</v>
      </c>
      <c r="Q1924" s="12"/>
      <c r="R1924" s="19"/>
      <c r="S1924" s="11" t="s">
        <v>4756</v>
      </c>
      <c r="T1924" s="12"/>
      <c r="U1924" s="10" t="str">
        <f>HYPERLINK("https://pbs.twimg.com/profile_images/849620996185354240/4GWEPloC.jpg","View")</f>
        <v>View</v>
      </c>
    </row>
    <row r="1925" spans="1:21" ht="30.6">
      <c r="A1925" s="6">
        <v>43424.842442129629</v>
      </c>
      <c r="B1925" s="7" t="str">
        <f>HYPERLINK("https://twitter.com/CsOrdes","@CsOrdes")</f>
        <v>@CsOrdes</v>
      </c>
      <c r="C1925" s="8" t="s">
        <v>4757</v>
      </c>
      <c r="D1925" s="9" t="s">
        <v>4758</v>
      </c>
      <c r="E1925" s="10" t="str">
        <f>HYPERLINK("https://twitter.com/CsOrdes/status/1064959844845801477","1064959844845801477")</f>
        <v>1064959844845801477</v>
      </c>
      <c r="F1925" s="12"/>
      <c r="G1925" s="11" t="s">
        <v>4759</v>
      </c>
      <c r="H1925" s="12"/>
      <c r="I1925" s="13">
        <v>1</v>
      </c>
      <c r="J1925" s="13">
        <v>1</v>
      </c>
      <c r="K1925" s="14" t="str">
        <f t="shared" ref="K1925:K1926" si="410">HYPERLINK("http://twitter.com/download/iphone","Twitter for iPhone")</f>
        <v>Twitter for iPhone</v>
      </c>
      <c r="L1925" s="13">
        <v>596</v>
      </c>
      <c r="M1925" s="13">
        <v>1574</v>
      </c>
      <c r="N1925" s="13">
        <v>1</v>
      </c>
      <c r="O1925" s="15"/>
      <c r="P1925" s="6">
        <v>43165.417407407411</v>
      </c>
      <c r="Q1925" s="16" t="s">
        <v>4760</v>
      </c>
      <c r="R1925" s="17" t="s">
        <v>4761</v>
      </c>
      <c r="S1925" s="11" t="s">
        <v>473</v>
      </c>
      <c r="T1925" s="12"/>
      <c r="U1925" s="10" t="str">
        <f>HYPERLINK("https://pbs.twimg.com/profile_images/970947492505440256/CzgitpOG.jpg","View")</f>
        <v>View</v>
      </c>
    </row>
    <row r="1926" spans="1:21" ht="40.799999999999997">
      <c r="A1926" s="6">
        <v>43424.842037037037</v>
      </c>
      <c r="B1926" s="7" t="str">
        <f>HYPERLINK("https://twitter.com/PCamorrista","@PCamorrista")</f>
        <v>@PCamorrista</v>
      </c>
      <c r="C1926" s="8" t="s">
        <v>311</v>
      </c>
      <c r="D1926" s="9" t="s">
        <v>4762</v>
      </c>
      <c r="E1926" s="10" t="str">
        <f>HYPERLINK("https://twitter.com/PCamorrista/status/1064959697797767168","1064959697797767168")</f>
        <v>1064959697797767168</v>
      </c>
      <c r="F1926" s="11" t="s">
        <v>4764</v>
      </c>
      <c r="G1926" s="12"/>
      <c r="H1926" s="12"/>
      <c r="I1926" s="13">
        <v>1</v>
      </c>
      <c r="J1926" s="13">
        <v>1</v>
      </c>
      <c r="K1926" s="14" t="str">
        <f t="shared" si="410"/>
        <v>Twitter for iPhone</v>
      </c>
      <c r="L1926" s="13">
        <v>1953</v>
      </c>
      <c r="M1926" s="13">
        <v>1977</v>
      </c>
      <c r="N1926" s="13">
        <v>10</v>
      </c>
      <c r="O1926" s="15"/>
      <c r="P1926" s="6">
        <v>43114.384884259256</v>
      </c>
      <c r="Q1926" s="16" t="s">
        <v>37</v>
      </c>
      <c r="R1926" s="17" t="s">
        <v>314</v>
      </c>
      <c r="S1926" s="11" t="s">
        <v>315</v>
      </c>
      <c r="T1926" s="12"/>
      <c r="U1926" s="10" t="str">
        <f>HYPERLINK("https://pbs.twimg.com/profile_images/952459031083397120/u6DBThkF.jpg","View")</f>
        <v>View</v>
      </c>
    </row>
    <row r="1927" spans="1:21" ht="51">
      <c r="A1927" s="6">
        <v>43424.841585648144</v>
      </c>
      <c r="B1927" s="7" t="str">
        <f>HYPERLINK("https://twitter.com/CsValencia_C","@CsValencia_C")</f>
        <v>@CsValencia_C</v>
      </c>
      <c r="C1927" s="8" t="s">
        <v>4767</v>
      </c>
      <c r="D1927" s="9" t="s">
        <v>4768</v>
      </c>
      <c r="E1927" s="10" t="str">
        <f>HYPERLINK("https://twitter.com/CsValencia_C/status/1064959534450597888","1064959534450597888")</f>
        <v>1064959534450597888</v>
      </c>
      <c r="F1927" s="12"/>
      <c r="G1927" s="11" t="s">
        <v>4769</v>
      </c>
      <c r="H1927" s="12"/>
      <c r="I1927" s="13">
        <v>16</v>
      </c>
      <c r="J1927" s="13">
        <v>16</v>
      </c>
      <c r="K1927" s="14" t="str">
        <f t="shared" ref="K1927:K1928" si="411">HYPERLINK("http://twitter.com","Twitter Web Client")</f>
        <v>Twitter Web Client</v>
      </c>
      <c r="L1927" s="13">
        <v>8356</v>
      </c>
      <c r="M1927" s="13">
        <v>2376</v>
      </c>
      <c r="N1927" s="13">
        <v>101</v>
      </c>
      <c r="O1927" s="18" t="s">
        <v>36</v>
      </c>
      <c r="P1927" s="6">
        <v>40852.030115740738</v>
      </c>
      <c r="Q1927" s="16" t="s">
        <v>263</v>
      </c>
      <c r="R1927" s="17" t="s">
        <v>4770</v>
      </c>
      <c r="S1927" s="11" t="s">
        <v>4771</v>
      </c>
      <c r="T1927" s="12"/>
      <c r="U1927" s="10" t="str">
        <f>HYPERLINK("https://pbs.twimg.com/profile_images/1053534935540289536/VOC7JsP6.jpg","View")</f>
        <v>View</v>
      </c>
    </row>
    <row r="1928" spans="1:21" ht="30.6">
      <c r="A1928" s="6">
        <v>43424.841493055559</v>
      </c>
      <c r="B1928" s="7" t="str">
        <f>HYPERLINK("https://twitter.com/andreapt85","@andreapt85")</f>
        <v>@andreapt85</v>
      </c>
      <c r="C1928" s="8" t="s">
        <v>1177</v>
      </c>
      <c r="D1928" s="9" t="s">
        <v>4772</v>
      </c>
      <c r="E1928" s="10" t="str">
        <f>HYPERLINK("https://twitter.com/andreapt85/status/1064959499121889281","1064959499121889281")</f>
        <v>1064959499121889281</v>
      </c>
      <c r="F1928" s="11" t="s">
        <v>4773</v>
      </c>
      <c r="G1928" s="12"/>
      <c r="H1928" s="12"/>
      <c r="I1928" s="13">
        <v>2</v>
      </c>
      <c r="J1928" s="13">
        <v>2</v>
      </c>
      <c r="K1928" s="14" t="str">
        <f t="shared" si="411"/>
        <v>Twitter Web Client</v>
      </c>
      <c r="L1928" s="13">
        <v>689</v>
      </c>
      <c r="M1928" s="13">
        <v>1116</v>
      </c>
      <c r="N1928" s="13">
        <v>22</v>
      </c>
      <c r="O1928" s="15"/>
      <c r="P1928" s="6">
        <v>40596.342546296299</v>
      </c>
      <c r="Q1928" s="16" t="s">
        <v>1179</v>
      </c>
      <c r="R1928" s="17" t="s">
        <v>1180</v>
      </c>
      <c r="S1928" s="12"/>
      <c r="T1928" s="12"/>
      <c r="U1928" s="10" t="str">
        <f>HYPERLINK("https://pbs.twimg.com/profile_images/1063789726715559936/8b5BUv58.jpg","View")</f>
        <v>View</v>
      </c>
    </row>
    <row r="1929" spans="1:21" ht="30.6">
      <c r="A1929" s="6">
        <v>43424.840775462959</v>
      </c>
      <c r="B1929" s="7" t="str">
        <f>HYPERLINK("https://twitter.com/DeMeison","@DeMeison")</f>
        <v>@DeMeison</v>
      </c>
      <c r="C1929" s="8" t="s">
        <v>4984</v>
      </c>
      <c r="D1929" s="9" t="s">
        <v>7265</v>
      </c>
      <c r="E1929" s="10" t="str">
        <f>HYPERLINK("https://twitter.com/DeMeison/status/1064959241021284355","1064959241021284355")</f>
        <v>1064959241021284355</v>
      </c>
      <c r="F1929" s="12"/>
      <c r="G1929" s="12"/>
      <c r="H1929" s="12"/>
      <c r="I1929" s="13">
        <v>21</v>
      </c>
      <c r="J1929" s="13">
        <v>64</v>
      </c>
      <c r="K1929" s="14" t="str">
        <f>HYPERLINK("http://twitter.com/download/android","Twitter for Android")</f>
        <v>Twitter for Android</v>
      </c>
      <c r="L1929" s="13">
        <v>1567</v>
      </c>
      <c r="M1929" s="13">
        <v>1236</v>
      </c>
      <c r="N1929" s="13">
        <v>24</v>
      </c>
      <c r="O1929" s="15"/>
      <c r="P1929" s="6">
        <v>40711.818657407406</v>
      </c>
      <c r="Q1929" s="16" t="s">
        <v>4989</v>
      </c>
      <c r="R1929" s="17" t="s">
        <v>4990</v>
      </c>
      <c r="S1929" s="12"/>
      <c r="T1929" s="12"/>
      <c r="U1929" s="10" t="str">
        <f>HYPERLINK("https://pbs.twimg.com/profile_images/924658553121640448/v126-zQr.jpg","View")</f>
        <v>View</v>
      </c>
    </row>
    <row r="1930" spans="1:21" ht="30.6">
      <c r="A1930" s="6">
        <v>43424.840381944443</v>
      </c>
      <c r="B1930" s="7" t="str">
        <f>HYPERLINK("https://twitter.com/GranCanariaTv","@GranCanariaTv")</f>
        <v>@GranCanariaTv</v>
      </c>
      <c r="C1930" s="8" t="s">
        <v>6899</v>
      </c>
      <c r="D1930" s="9" t="s">
        <v>7266</v>
      </c>
      <c r="E1930" s="10" t="str">
        <f>HYPERLINK("https://twitter.com/GranCanariaTv/status/1064959095919263744","1064959095919263744")</f>
        <v>1064959095919263744</v>
      </c>
      <c r="F1930" s="11" t="s">
        <v>6901</v>
      </c>
      <c r="G1930" s="12"/>
      <c r="H1930" s="12"/>
      <c r="I1930" s="13">
        <v>0</v>
      </c>
      <c r="J1930" s="13">
        <v>0</v>
      </c>
      <c r="K1930" s="14" t="str">
        <f>HYPERLINK("http://twitter.com","Twitter Web Client")</f>
        <v>Twitter Web Client</v>
      </c>
      <c r="L1930" s="13">
        <v>5000</v>
      </c>
      <c r="M1930" s="13">
        <v>3356</v>
      </c>
      <c r="N1930" s="13">
        <v>99</v>
      </c>
      <c r="O1930" s="15"/>
      <c r="P1930" s="6">
        <v>40504.989155092597</v>
      </c>
      <c r="Q1930" s="16" t="s">
        <v>1345</v>
      </c>
      <c r="R1930" s="17" t="s">
        <v>6902</v>
      </c>
      <c r="S1930" s="11" t="s">
        <v>6903</v>
      </c>
      <c r="T1930" s="12"/>
      <c r="U1930" s="10" t="str">
        <f>HYPERLINK("https://pbs.twimg.com/profile_images/728335785527758848/RP6AGTBc.jpg","View")</f>
        <v>View</v>
      </c>
    </row>
    <row r="1931" spans="1:21" ht="30.6">
      <c r="A1931" s="6">
        <v>43424.838680555556</v>
      </c>
      <c r="B1931" s="7" t="str">
        <f>HYPERLINK("https://twitter.com/JcsGalicia","@JcsGalicia")</f>
        <v>@JcsGalicia</v>
      </c>
      <c r="C1931" s="8" t="s">
        <v>274</v>
      </c>
      <c r="D1931" s="9" t="s">
        <v>4774</v>
      </c>
      <c r="E1931" s="10" t="str">
        <f>HYPERLINK("https://twitter.com/JcsGalicia/status/1064958479062978562","1064958479062978562")</f>
        <v>1064958479062978562</v>
      </c>
      <c r="F1931" s="12"/>
      <c r="G1931" s="11" t="s">
        <v>4775</v>
      </c>
      <c r="H1931" s="12"/>
      <c r="I1931" s="13">
        <v>5</v>
      </c>
      <c r="J1931" s="13">
        <v>7</v>
      </c>
      <c r="K1931" s="14" t="str">
        <f>HYPERLINK("http://twitter.com/download/android","Twitter for Android")</f>
        <v>Twitter for Android</v>
      </c>
      <c r="L1931" s="13">
        <v>658</v>
      </c>
      <c r="M1931" s="13">
        <v>511</v>
      </c>
      <c r="N1931" s="13">
        <v>1</v>
      </c>
      <c r="O1931" s="15"/>
      <c r="P1931" s="6">
        <v>43005.318553240737</v>
      </c>
      <c r="Q1931" s="12"/>
      <c r="R1931" s="17" t="s">
        <v>279</v>
      </c>
      <c r="S1931" s="12"/>
      <c r="T1931" s="12"/>
      <c r="U1931" s="10" t="str">
        <f>HYPERLINK("https://pbs.twimg.com/profile_images/1053554623733288960/m7VIj2qD.jpg","View")</f>
        <v>View</v>
      </c>
    </row>
    <row r="1932" spans="1:21" ht="30.6">
      <c r="A1932" s="6">
        <v>43424.838622685187</v>
      </c>
      <c r="B1932" s="7" t="str">
        <f>HYPERLINK("https://twitter.com/brusual","@brusual")</f>
        <v>@brusual</v>
      </c>
      <c r="C1932" s="8" t="s">
        <v>7267</v>
      </c>
      <c r="D1932" s="9" t="s">
        <v>7268</v>
      </c>
      <c r="E1932" s="10" t="str">
        <f>HYPERLINK("https://twitter.com/brusual/status/1064958458322190337","1064958458322190337")</f>
        <v>1064958458322190337</v>
      </c>
      <c r="F1932" s="11" t="s">
        <v>7024</v>
      </c>
      <c r="G1932" s="12"/>
      <c r="H1932" s="12"/>
      <c r="I1932" s="13">
        <v>0</v>
      </c>
      <c r="J1932" s="13">
        <v>1</v>
      </c>
      <c r="K1932" s="14" t="str">
        <f>HYPERLINK("http://twitter.com","Twitter Web Client")</f>
        <v>Twitter Web Client</v>
      </c>
      <c r="L1932" s="13">
        <v>264</v>
      </c>
      <c r="M1932" s="13">
        <v>697</v>
      </c>
      <c r="N1932" s="13">
        <v>5</v>
      </c>
      <c r="O1932" s="15"/>
      <c r="P1932" s="6">
        <v>40639.699583333335</v>
      </c>
      <c r="Q1932" s="16" t="s">
        <v>37</v>
      </c>
      <c r="R1932" s="17" t="s">
        <v>7269</v>
      </c>
      <c r="S1932" s="12"/>
      <c r="T1932" s="12"/>
      <c r="U1932" s="10" t="str">
        <f>HYPERLINK("https://pbs.twimg.com/profile_images/1060284239751643136/5YjLRu4E.jpg","View")</f>
        <v>View</v>
      </c>
    </row>
    <row r="1933" spans="1:21" ht="20.399999999999999">
      <c r="A1933" s="6">
        <v>43424.838391203702</v>
      </c>
      <c r="B1933" s="7" t="str">
        <f>HYPERLINK("https://twitter.com/CdrMon","@CdrMon")</f>
        <v>@CdrMon</v>
      </c>
      <c r="C1933" s="8" t="s">
        <v>7270</v>
      </c>
      <c r="D1933" s="9" t="s">
        <v>7271</v>
      </c>
      <c r="E1933" s="10" t="str">
        <f>HYPERLINK("https://twitter.com/CdrMon/status/1064958374465413121","1064958374465413121")</f>
        <v>1064958374465413121</v>
      </c>
      <c r="F1933" s="11" t="s">
        <v>7272</v>
      </c>
      <c r="G1933" s="12"/>
      <c r="H1933" s="12"/>
      <c r="I1933" s="13">
        <v>0</v>
      </c>
      <c r="J1933" s="13">
        <v>0</v>
      </c>
      <c r="K1933" s="14" t="str">
        <f>HYPERLINK("http://twitter.com/download/android","Twitter for Android")</f>
        <v>Twitter for Android</v>
      </c>
      <c r="L1933" s="13">
        <v>1723</v>
      </c>
      <c r="M1933" s="13">
        <v>1900</v>
      </c>
      <c r="N1933" s="13">
        <v>0</v>
      </c>
      <c r="O1933" s="15"/>
      <c r="P1933" s="6">
        <v>43275.480798611112</v>
      </c>
      <c r="Q1933" s="12"/>
      <c r="R1933" s="19"/>
      <c r="S1933" s="12"/>
      <c r="T1933" s="12"/>
      <c r="U1933" s="10" t="str">
        <f>HYPERLINK("https://pbs.twimg.com/profile_images/1045311217693335552/1_3kjLaN.jpg","View")</f>
        <v>View</v>
      </c>
    </row>
    <row r="1934" spans="1:21" ht="40.799999999999997">
      <c r="A1934" s="6">
        <v>43424.83803240741</v>
      </c>
      <c r="B1934" s="7" t="str">
        <f t="shared" ref="B1934:B1935" si="412">HYPERLINK("https://twitter.com/Zibelinam","@Zibelinam")</f>
        <v>@Zibelinam</v>
      </c>
      <c r="C1934" s="8" t="s">
        <v>7273</v>
      </c>
      <c r="D1934" s="9" t="s">
        <v>7004</v>
      </c>
      <c r="E1934" s="10" t="str">
        <f>HYPERLINK("https://twitter.com/Zibelinam/status/1064958246543347714","1064958246543347714")</f>
        <v>1064958246543347714</v>
      </c>
      <c r="F1934" s="11" t="s">
        <v>4465</v>
      </c>
      <c r="G1934" s="12"/>
      <c r="H1934" s="12"/>
      <c r="I1934" s="13">
        <v>1</v>
      </c>
      <c r="J1934" s="13">
        <v>0</v>
      </c>
      <c r="K1934" s="14" t="str">
        <f t="shared" ref="K1934:K1935" si="413">HYPERLINK("http://twitter.com/download/iphone","Twitter for iPhone")</f>
        <v>Twitter for iPhone</v>
      </c>
      <c r="L1934" s="13">
        <v>4089</v>
      </c>
      <c r="M1934" s="13">
        <v>4008</v>
      </c>
      <c r="N1934" s="13">
        <v>19</v>
      </c>
      <c r="O1934" s="15"/>
      <c r="P1934" s="6">
        <v>41405.65353009259</v>
      </c>
      <c r="Q1934" s="16" t="s">
        <v>7274</v>
      </c>
      <c r="R1934" s="17" t="s">
        <v>7275</v>
      </c>
      <c r="S1934" s="12"/>
      <c r="T1934" s="12"/>
      <c r="U1934" s="10" t="str">
        <f t="shared" ref="U1934:U1935" si="414">HYPERLINK("https://pbs.twimg.com/profile_images/929426502416027649/07tvgMQf.jpg","View")</f>
        <v>View</v>
      </c>
    </row>
    <row r="1935" spans="1:21" ht="40.799999999999997">
      <c r="A1935" s="6">
        <v>43424.837708333333</v>
      </c>
      <c r="B1935" s="7" t="str">
        <f t="shared" si="412"/>
        <v>@Zibelinam</v>
      </c>
      <c r="C1935" s="8" t="s">
        <v>7273</v>
      </c>
      <c r="D1935" s="9" t="s">
        <v>6996</v>
      </c>
      <c r="E1935" s="10" t="str">
        <f>HYPERLINK("https://twitter.com/Zibelinam/status/1064958128654114816","1064958128654114816")</f>
        <v>1064958128654114816</v>
      </c>
      <c r="F1935" s="11" t="s">
        <v>4215</v>
      </c>
      <c r="G1935" s="12"/>
      <c r="H1935" s="12"/>
      <c r="I1935" s="13">
        <v>1</v>
      </c>
      <c r="J1935" s="13">
        <v>1</v>
      </c>
      <c r="K1935" s="14" t="str">
        <f t="shared" si="413"/>
        <v>Twitter for iPhone</v>
      </c>
      <c r="L1935" s="13">
        <v>4089</v>
      </c>
      <c r="M1935" s="13">
        <v>4008</v>
      </c>
      <c r="N1935" s="13">
        <v>19</v>
      </c>
      <c r="O1935" s="15"/>
      <c r="P1935" s="6">
        <v>41405.65353009259</v>
      </c>
      <c r="Q1935" s="16" t="s">
        <v>7274</v>
      </c>
      <c r="R1935" s="17" t="s">
        <v>7275</v>
      </c>
      <c r="S1935" s="12"/>
      <c r="T1935" s="12"/>
      <c r="U1935" s="10" t="str">
        <f t="shared" si="414"/>
        <v>View</v>
      </c>
    </row>
    <row r="1936" spans="1:21" ht="40.799999999999997">
      <c r="A1936" s="6">
        <v>43424.836851851855</v>
      </c>
      <c r="B1936" s="7" t="str">
        <f>HYPERLINK("https://twitter.com/lextresabogados","@lextresabogados")</f>
        <v>@lextresabogados</v>
      </c>
      <c r="C1936" s="8" t="s">
        <v>790</v>
      </c>
      <c r="D1936" s="9" t="s">
        <v>7276</v>
      </c>
      <c r="E1936" s="10" t="str">
        <f>HYPERLINK("https://twitter.com/lextresabogados/status/1064957819458396160","1064957819458396160")</f>
        <v>1064957819458396160</v>
      </c>
      <c r="F1936" s="11" t="s">
        <v>7277</v>
      </c>
      <c r="G1936" s="12"/>
      <c r="H1936" s="12"/>
      <c r="I1936" s="13">
        <v>0</v>
      </c>
      <c r="J1936" s="13">
        <v>0</v>
      </c>
      <c r="K1936" s="14" t="str">
        <f>HYPERLINK("http://35.180.36.179","botize nueva")</f>
        <v>botize nueva</v>
      </c>
      <c r="L1936" s="13">
        <v>2229</v>
      </c>
      <c r="M1936" s="13">
        <v>3277</v>
      </c>
      <c r="N1936" s="13">
        <v>22</v>
      </c>
      <c r="O1936" s="15"/>
      <c r="P1936" s="6">
        <v>42880.770949074074</v>
      </c>
      <c r="Q1936" s="16" t="s">
        <v>189</v>
      </c>
      <c r="R1936" s="17" t="s">
        <v>793</v>
      </c>
      <c r="S1936" s="11" t="s">
        <v>794</v>
      </c>
      <c r="T1936" s="12"/>
      <c r="U1936" s="10" t="str">
        <f>HYPERLINK("https://pbs.twimg.com/profile_images/1058352229546164224/xnNCczNu.jpg","View")</f>
        <v>View</v>
      </c>
    </row>
    <row r="1937" spans="1:21" ht="20.399999999999999">
      <c r="A1937" s="6">
        <v>43424.83657407407</v>
      </c>
      <c r="B1937" s="7" t="str">
        <f>HYPERLINK("https://twitter.com/elhuron2","@elhuron2")</f>
        <v>@elhuron2</v>
      </c>
      <c r="C1937" s="8" t="s">
        <v>4103</v>
      </c>
      <c r="D1937" s="9" t="s">
        <v>7278</v>
      </c>
      <c r="E1937" s="10" t="str">
        <f>HYPERLINK("https://twitter.com/elhuron2/status/1064957718627180544","1064957718627180544")</f>
        <v>1064957718627180544</v>
      </c>
      <c r="F1937" s="11" t="s">
        <v>7279</v>
      </c>
      <c r="G1937" s="12"/>
      <c r="H1937" s="12"/>
      <c r="I1937" s="13">
        <v>0</v>
      </c>
      <c r="J1937" s="13">
        <v>0</v>
      </c>
      <c r="K1937" s="14" t="str">
        <f>HYPERLINK("https://www.google.com/","Google")</f>
        <v>Google</v>
      </c>
      <c r="L1937" s="13">
        <v>408</v>
      </c>
      <c r="M1937" s="13">
        <v>496</v>
      </c>
      <c r="N1937" s="13">
        <v>6</v>
      </c>
      <c r="O1937" s="15"/>
      <c r="P1937" s="6">
        <v>41869.952997685185</v>
      </c>
      <c r="Q1937" s="16" t="s">
        <v>4109</v>
      </c>
      <c r="R1937" s="17" t="s">
        <v>4110</v>
      </c>
      <c r="S1937" s="11" t="s">
        <v>4111</v>
      </c>
      <c r="T1937" s="12"/>
      <c r="U1937" s="10" t="str">
        <f>HYPERLINK("https://pbs.twimg.com/profile_images/803176150629515264/heYiZScX.jpg","View")</f>
        <v>View</v>
      </c>
    </row>
    <row r="1938" spans="1:21" ht="20.399999999999999">
      <c r="A1938" s="6">
        <v>43424.835312499999</v>
      </c>
      <c r="B1938" s="7" t="str">
        <f>HYPERLINK("https://twitter.com/sevillairene","@sevillairene")</f>
        <v>@sevillairene</v>
      </c>
      <c r="C1938" s="8" t="s">
        <v>1594</v>
      </c>
      <c r="D1938" s="9" t="s">
        <v>4776</v>
      </c>
      <c r="E1938" s="10" t="str">
        <f>HYPERLINK("https://twitter.com/sevillairene/status/1064957259556503553","1064957259556503553")</f>
        <v>1064957259556503553</v>
      </c>
      <c r="F1938" s="11" t="s">
        <v>4777</v>
      </c>
      <c r="G1938" s="12"/>
      <c r="H1938" s="12"/>
      <c r="I1938" s="13">
        <v>1</v>
      </c>
      <c r="J1938" s="13">
        <v>0</v>
      </c>
      <c r="K1938" s="14" t="str">
        <f>HYPERLINK("http://twitter.com","Twitter Web Client")</f>
        <v>Twitter Web Client</v>
      </c>
      <c r="L1938" s="13">
        <v>994</v>
      </c>
      <c r="M1938" s="13">
        <v>1018</v>
      </c>
      <c r="N1938" s="13">
        <v>31</v>
      </c>
      <c r="O1938" s="15"/>
      <c r="P1938" s="6">
        <v>40613.830925925926</v>
      </c>
      <c r="Q1938" s="16" t="s">
        <v>496</v>
      </c>
      <c r="R1938" s="17" t="s">
        <v>1597</v>
      </c>
      <c r="S1938" s="12"/>
      <c r="T1938" s="12"/>
      <c r="U1938" s="10" t="str">
        <f>HYPERLINK("https://pbs.twimg.com/profile_images/1867003106/irene_4.jpg","View")</f>
        <v>View</v>
      </c>
    </row>
    <row r="1939" spans="1:21" ht="40.799999999999997">
      <c r="A1939" s="6">
        <v>43424.834780092591</v>
      </c>
      <c r="B1939" s="7" t="str">
        <f>HYPERLINK("https://twitter.com/yosoynaranjito_","@yosoynaranjito_")</f>
        <v>@yosoynaranjito_</v>
      </c>
      <c r="C1939" s="8" t="s">
        <v>7280</v>
      </c>
      <c r="D1939" s="9" t="s">
        <v>7281</v>
      </c>
      <c r="E1939" s="10" t="str">
        <f>HYPERLINK("https://twitter.com/yosoynaranjito_/status/1064957067264430082","1064957067264430082")</f>
        <v>1064957067264430082</v>
      </c>
      <c r="F1939" s="12"/>
      <c r="G1939" s="11" t="s">
        <v>4314</v>
      </c>
      <c r="H1939" s="12"/>
      <c r="I1939" s="13">
        <v>445</v>
      </c>
      <c r="J1939" s="13">
        <v>792</v>
      </c>
      <c r="K1939" s="14" t="str">
        <f>HYPERLINK("http://twitter.com/download/iphone","Twitter for iPhone")</f>
        <v>Twitter for iPhone</v>
      </c>
      <c r="L1939" s="13">
        <v>22149</v>
      </c>
      <c r="M1939" s="13">
        <v>20131</v>
      </c>
      <c r="N1939" s="13">
        <v>133</v>
      </c>
      <c r="O1939" s="15"/>
      <c r="P1939" s="6">
        <v>42301.704398148147</v>
      </c>
      <c r="Q1939" s="16" t="s">
        <v>7282</v>
      </c>
      <c r="R1939" s="17" t="s">
        <v>7283</v>
      </c>
      <c r="S1939" s="11" t="s">
        <v>7284</v>
      </c>
      <c r="T1939" s="12"/>
      <c r="U1939" s="10" t="str">
        <f>HYPERLINK("https://pbs.twimg.com/profile_images/1064258315931258881/2mY8b8BQ.jpg","View")</f>
        <v>View</v>
      </c>
    </row>
    <row r="1940" spans="1:21" ht="51">
      <c r="A1940" s="6">
        <v>43424.834722222222</v>
      </c>
      <c r="B1940" s="7" t="str">
        <f>HYPERLINK("https://twitter.com/bitMomentum","@bitMomentum")</f>
        <v>@bitMomentum</v>
      </c>
      <c r="C1940" s="8" t="s">
        <v>706</v>
      </c>
      <c r="D1940" s="9" t="s">
        <v>4778</v>
      </c>
      <c r="E1940" s="10" t="str">
        <f>HYPERLINK("https://twitter.com/bitMomentum/status/1064957045252784128","1064957045252784128")</f>
        <v>1064957045252784128</v>
      </c>
      <c r="F1940" s="12"/>
      <c r="G1940" s="12"/>
      <c r="H1940" s="12"/>
      <c r="I1940" s="13">
        <v>1</v>
      </c>
      <c r="J1940" s="13">
        <v>3</v>
      </c>
      <c r="K1940" s="14" t="str">
        <f>HYPERLINK("http://www.bitmomentum.com","bitMomentum Bot")</f>
        <v>bitMomentum Bot</v>
      </c>
      <c r="L1940" s="13">
        <v>10132</v>
      </c>
      <c r="M1940" s="13">
        <v>1060</v>
      </c>
      <c r="N1940" s="13">
        <v>262</v>
      </c>
      <c r="O1940" s="15"/>
      <c r="P1940" s="6">
        <v>41608.667511574073</v>
      </c>
      <c r="Q1940" s="12"/>
      <c r="R1940" s="17" t="s">
        <v>708</v>
      </c>
      <c r="S1940" s="11" t="s">
        <v>709</v>
      </c>
      <c r="T1940" s="12"/>
      <c r="U1940" s="10" t="str">
        <f>HYPERLINK("https://pbs.twimg.com/profile_images/378800000862185241/20ij2H3u.png","View")</f>
        <v>View</v>
      </c>
    </row>
    <row r="1941" spans="1:21" ht="30.6">
      <c r="A1941" s="6">
        <v>43424.834039351852</v>
      </c>
      <c r="B1941" s="7" t="str">
        <f>HYPERLINK("https://twitter.com/EmVidalH","@EmVidalH")</f>
        <v>@EmVidalH</v>
      </c>
      <c r="C1941" s="8" t="s">
        <v>4782</v>
      </c>
      <c r="D1941" s="9" t="s">
        <v>4783</v>
      </c>
      <c r="E1941" s="10" t="str">
        <f>HYPERLINK("https://twitter.com/EmVidalH/status/1064956799495880705","1064956799495880705")</f>
        <v>1064956799495880705</v>
      </c>
      <c r="F1941" s="12"/>
      <c r="G1941" s="11" t="s">
        <v>4784</v>
      </c>
      <c r="H1941" s="12"/>
      <c r="I1941" s="13">
        <v>14</v>
      </c>
      <c r="J1941" s="13">
        <v>17</v>
      </c>
      <c r="K1941" s="14" t="str">
        <f>HYPERLINK("http://twitter.com/download/android","Twitter for Android")</f>
        <v>Twitter for Android</v>
      </c>
      <c r="L1941" s="13">
        <v>913</v>
      </c>
      <c r="M1941" s="13">
        <v>1082</v>
      </c>
      <c r="N1941" s="13">
        <v>3</v>
      </c>
      <c r="O1941" s="15"/>
      <c r="P1941" s="6">
        <v>43122.890625</v>
      </c>
      <c r="Q1941" s="16" t="s">
        <v>4264</v>
      </c>
      <c r="R1941" s="17" t="s">
        <v>4785</v>
      </c>
      <c r="S1941" s="12"/>
      <c r="T1941" s="12"/>
      <c r="U1941" s="10" t="str">
        <f>HYPERLINK("https://pbs.twimg.com/profile_images/1050768131155738625/VS1OLzQu.jpg","View")</f>
        <v>View</v>
      </c>
    </row>
    <row r="1942" spans="1:21" ht="51">
      <c r="A1942" s="6">
        <v>43424.834027777775</v>
      </c>
      <c r="B1942" s="7" t="str">
        <f>HYPERLINK("https://twitter.com/bitMomentum","@bitMomentum")</f>
        <v>@bitMomentum</v>
      </c>
      <c r="C1942" s="8" t="s">
        <v>706</v>
      </c>
      <c r="D1942" s="9" t="s">
        <v>4788</v>
      </c>
      <c r="E1942" s="10" t="str">
        <f>HYPERLINK("https://twitter.com/bitMomentum/status/1064956793552601093","1064956793552601093")</f>
        <v>1064956793552601093</v>
      </c>
      <c r="F1942" s="12"/>
      <c r="G1942" s="12"/>
      <c r="H1942" s="12"/>
      <c r="I1942" s="13">
        <v>0</v>
      </c>
      <c r="J1942" s="13">
        <v>0</v>
      </c>
      <c r="K1942" s="14" t="str">
        <f>HYPERLINK("http://www.bitmomentum.com","bitMomentum Bot")</f>
        <v>bitMomentum Bot</v>
      </c>
      <c r="L1942" s="13">
        <v>10132</v>
      </c>
      <c r="M1942" s="13">
        <v>1060</v>
      </c>
      <c r="N1942" s="13">
        <v>262</v>
      </c>
      <c r="O1942" s="15"/>
      <c r="P1942" s="6">
        <v>41608.667511574073</v>
      </c>
      <c r="Q1942" s="12"/>
      <c r="R1942" s="17" t="s">
        <v>708</v>
      </c>
      <c r="S1942" s="11" t="s">
        <v>709</v>
      </c>
      <c r="T1942" s="12"/>
      <c r="U1942" s="10" t="str">
        <f>HYPERLINK("https://pbs.twimg.com/profile_images/378800000862185241/20ij2H3u.png","View")</f>
        <v>View</v>
      </c>
    </row>
    <row r="1943" spans="1:21" ht="20.399999999999999">
      <c r="A1943" s="6">
        <v>43424.833564814813</v>
      </c>
      <c r="B1943" s="7" t="str">
        <f>HYPERLINK("https://twitter.com/Tormentavideos","@Tormentavideos")</f>
        <v>@Tormentavideos</v>
      </c>
      <c r="C1943" s="8" t="s">
        <v>7285</v>
      </c>
      <c r="D1943" s="9" t="s">
        <v>7286</v>
      </c>
      <c r="E1943" s="10" t="str">
        <f>HYPERLINK("https://twitter.com/Tormentavideos/status/1064956626917122048","1064956626917122048")</f>
        <v>1064956626917122048</v>
      </c>
      <c r="F1943" s="16" t="s">
        <v>7287</v>
      </c>
      <c r="G1943" s="12"/>
      <c r="H1943" s="12"/>
      <c r="I1943" s="13">
        <v>0</v>
      </c>
      <c r="J1943" s="13">
        <v>0</v>
      </c>
      <c r="K1943" s="14" t="str">
        <f>HYPERLINK("http://publicize.wp.com/","WordPress.com")</f>
        <v>WordPress.com</v>
      </c>
      <c r="L1943" s="13">
        <v>411</v>
      </c>
      <c r="M1943" s="13">
        <v>1662</v>
      </c>
      <c r="N1943" s="13">
        <v>2</v>
      </c>
      <c r="O1943" s="15"/>
      <c r="P1943" s="6">
        <v>43040.506828703699</v>
      </c>
      <c r="Q1943" s="16" t="s">
        <v>118</v>
      </c>
      <c r="R1943" s="17" t="s">
        <v>7288</v>
      </c>
      <c r="S1943" s="11" t="s">
        <v>7289</v>
      </c>
      <c r="T1943" s="12"/>
      <c r="U1943" s="10" t="str">
        <f>HYPERLINK("https://pbs.twimg.com/profile_images/925682426139086849/jMMKbDpS.jpg","View")</f>
        <v>View</v>
      </c>
    </row>
    <row r="1944" spans="1:21" ht="40.799999999999997">
      <c r="A1944" s="6">
        <v>43424.833333333328</v>
      </c>
      <c r="B1944" s="7" t="str">
        <f>HYPERLINK("https://twitter.com/Cs_Asturias","@Cs_Asturias")</f>
        <v>@Cs_Asturias</v>
      </c>
      <c r="C1944" s="8" t="s">
        <v>4697</v>
      </c>
      <c r="D1944" s="9" t="s">
        <v>4793</v>
      </c>
      <c r="E1944" s="10" t="str">
        <f>HYPERLINK("https://twitter.com/Cs_Asturias/status/1064956543798456320","1064956543798456320")</f>
        <v>1064956543798456320</v>
      </c>
      <c r="F1944" s="12"/>
      <c r="G1944" s="11" t="s">
        <v>4796</v>
      </c>
      <c r="H1944" s="12"/>
      <c r="I1944" s="13">
        <v>0</v>
      </c>
      <c r="J1944" s="13">
        <v>3</v>
      </c>
      <c r="K1944" s="14" t="str">
        <f>HYPERLINK("https://studio.twitter.com","Media Studio")</f>
        <v>Media Studio</v>
      </c>
      <c r="L1944" s="13">
        <v>5700</v>
      </c>
      <c r="M1944" s="13">
        <v>1484</v>
      </c>
      <c r="N1944" s="13">
        <v>98</v>
      </c>
      <c r="O1944" s="18" t="s">
        <v>36</v>
      </c>
      <c r="P1944" s="6">
        <v>41704.560023148151</v>
      </c>
      <c r="Q1944" s="12"/>
      <c r="R1944" s="17" t="s">
        <v>4702</v>
      </c>
      <c r="S1944" s="11" t="s">
        <v>473</v>
      </c>
      <c r="T1944" s="12"/>
      <c r="U1944" s="10" t="str">
        <f>HYPERLINK("https://pbs.twimg.com/profile_images/1053409692960075776/pqztNRjY.jpg","View")</f>
        <v>View</v>
      </c>
    </row>
    <row r="1945" spans="1:21" ht="20.399999999999999">
      <c r="A1945" s="6">
        <v>43424.833298611113</v>
      </c>
      <c r="B1945" s="7" t="str">
        <f>HYPERLINK("https://twitter.com/elhuron2","@elhuron2")</f>
        <v>@elhuron2</v>
      </c>
      <c r="C1945" s="8" t="s">
        <v>4103</v>
      </c>
      <c r="D1945" s="9" t="s">
        <v>7290</v>
      </c>
      <c r="E1945" s="10" t="str">
        <f>HYPERLINK("https://twitter.com/elhuron2/status/1064956530200461313","1064956530200461313")</f>
        <v>1064956530200461313</v>
      </c>
      <c r="F1945" s="11" t="s">
        <v>7291</v>
      </c>
      <c r="G1945" s="12"/>
      <c r="H1945" s="12"/>
      <c r="I1945" s="13">
        <v>0</v>
      </c>
      <c r="J1945" s="13">
        <v>0</v>
      </c>
      <c r="K1945" s="14" t="str">
        <f>HYPERLINK("https://www.google.com/","Google")</f>
        <v>Google</v>
      </c>
      <c r="L1945" s="13">
        <v>408</v>
      </c>
      <c r="M1945" s="13">
        <v>496</v>
      </c>
      <c r="N1945" s="13">
        <v>6</v>
      </c>
      <c r="O1945" s="15"/>
      <c r="P1945" s="6">
        <v>41869.952997685185</v>
      </c>
      <c r="Q1945" s="16" t="s">
        <v>4109</v>
      </c>
      <c r="R1945" s="17" t="s">
        <v>4110</v>
      </c>
      <c r="S1945" s="11" t="s">
        <v>4111</v>
      </c>
      <c r="T1945" s="12"/>
      <c r="U1945" s="10" t="str">
        <f>HYPERLINK("https://pbs.twimg.com/profile_images/803176150629515264/heYiZScX.jpg","View")</f>
        <v>View</v>
      </c>
    </row>
    <row r="1946" spans="1:21" ht="20.399999999999999">
      <c r="A1946" s="6">
        <v>43424.832743055551</v>
      </c>
      <c r="B1946" s="7" t="str">
        <f>HYPERLINK("https://twitter.com/informativost5","@informativost5")</f>
        <v>@informativost5</v>
      </c>
      <c r="C1946" s="8" t="s">
        <v>7292</v>
      </c>
      <c r="D1946" s="9" t="s">
        <v>7293</v>
      </c>
      <c r="E1946" s="10" t="str">
        <f>HYPERLINK("https://twitter.com/informativost5/status/1064956327372443648","1064956327372443648")</f>
        <v>1064956327372443648</v>
      </c>
      <c r="F1946" s="11" t="s">
        <v>7294</v>
      </c>
      <c r="G1946" s="11" t="s">
        <v>7295</v>
      </c>
      <c r="H1946" s="12"/>
      <c r="I1946" s="13">
        <v>3</v>
      </c>
      <c r="J1946" s="13">
        <v>5</v>
      </c>
      <c r="K1946" s="14" t="str">
        <f>HYPERLINK("https://about.twitter.com/products/tweetdeck","TweetDeck")</f>
        <v>TweetDeck</v>
      </c>
      <c r="L1946" s="13">
        <v>694415</v>
      </c>
      <c r="M1946" s="13">
        <v>1232</v>
      </c>
      <c r="N1946" s="13">
        <v>3408</v>
      </c>
      <c r="O1946" s="18" t="s">
        <v>36</v>
      </c>
      <c r="P1946" s="6">
        <v>39720.789826388893</v>
      </c>
      <c r="Q1946" s="16" t="s">
        <v>6491</v>
      </c>
      <c r="R1946" s="17" t="s">
        <v>7296</v>
      </c>
      <c r="S1946" s="11" t="s">
        <v>7297</v>
      </c>
      <c r="T1946" s="12"/>
      <c r="U1946" s="10" t="str">
        <f>HYPERLINK("https://pbs.twimg.com/profile_images/927916068248739840/uCErGmhm.jpg","View")</f>
        <v>View</v>
      </c>
    </row>
    <row r="1947" spans="1:21" ht="51">
      <c r="A1947" s="6">
        <v>43424.832303240742</v>
      </c>
      <c r="B1947" s="7" t="str">
        <f>HYPERLINK("https://twitter.com/MCaceresMari","@MCaceresMari")</f>
        <v>@MCaceresMari</v>
      </c>
      <c r="C1947" s="8" t="s">
        <v>7259</v>
      </c>
      <c r="D1947" s="9" t="s">
        <v>7298</v>
      </c>
      <c r="E1947" s="10" t="str">
        <f>HYPERLINK("https://twitter.com/MCaceresMari/status/1064956169737908224","1064956169737908224")</f>
        <v>1064956169737908224</v>
      </c>
      <c r="F1947" s="12"/>
      <c r="G1947" s="11" t="s">
        <v>7299</v>
      </c>
      <c r="H1947" s="12"/>
      <c r="I1947" s="13">
        <v>0</v>
      </c>
      <c r="J1947" s="13">
        <v>0</v>
      </c>
      <c r="K1947" s="14" t="str">
        <f>HYPERLINK("http://twitter.com","Twitter Web Client")</f>
        <v>Twitter Web Client</v>
      </c>
      <c r="L1947" s="13">
        <v>167</v>
      </c>
      <c r="M1947" s="13">
        <v>172</v>
      </c>
      <c r="N1947" s="13">
        <v>4</v>
      </c>
      <c r="O1947" s="15"/>
      <c r="P1947" s="6">
        <v>42328.69913194445</v>
      </c>
      <c r="Q1947" s="16" t="s">
        <v>118</v>
      </c>
      <c r="R1947" s="17" t="s">
        <v>7260</v>
      </c>
      <c r="S1947" s="12"/>
      <c r="T1947" s="12"/>
      <c r="U1947" s="10" t="str">
        <f>HYPERLINK("https://pbs.twimg.com/profile_images/1063900876820160512/BV1TuitY.jpg","View")</f>
        <v>View</v>
      </c>
    </row>
    <row r="1948" spans="1:21" ht="30.6">
      <c r="A1948" s="6">
        <v>43424.831562499996</v>
      </c>
      <c r="B1948" s="7" t="str">
        <f>HYPERLINK("https://twitter.com/JorgedeArlanza","@JorgedeArlanza")</f>
        <v>@JorgedeArlanza</v>
      </c>
      <c r="C1948" s="8" t="s">
        <v>7300</v>
      </c>
      <c r="D1948" s="9" t="s">
        <v>7301</v>
      </c>
      <c r="E1948" s="10" t="str">
        <f>HYPERLINK("https://twitter.com/JorgedeArlanza/status/1064955902296580097","1064955902296580097")</f>
        <v>1064955902296580097</v>
      </c>
      <c r="F1948" s="12"/>
      <c r="G1948" s="12"/>
      <c r="H1948" s="12"/>
      <c r="I1948" s="13">
        <v>1</v>
      </c>
      <c r="J1948" s="13">
        <v>1</v>
      </c>
      <c r="K1948" s="14" t="str">
        <f>HYPERLINK("http://twitter.com/download/android","Twitter for Android")</f>
        <v>Twitter for Android</v>
      </c>
      <c r="L1948" s="13">
        <v>1100</v>
      </c>
      <c r="M1948" s="13">
        <v>1146</v>
      </c>
      <c r="N1948" s="13">
        <v>15</v>
      </c>
      <c r="O1948" s="15"/>
      <c r="P1948" s="6">
        <v>41705.004328703704</v>
      </c>
      <c r="Q1948" s="16" t="s">
        <v>7302</v>
      </c>
      <c r="R1948" s="17" t="s">
        <v>7303</v>
      </c>
      <c r="S1948" s="12"/>
      <c r="T1948" s="12"/>
      <c r="U1948" s="10" t="str">
        <f>HYPERLINK("https://pbs.twimg.com/profile_images/1054038207220867072/MQsXUdug.jpg","View")</f>
        <v>View</v>
      </c>
    </row>
    <row r="1949" spans="1:21" ht="40.799999999999997">
      <c r="A1949" s="6">
        <v>43424.830370370371</v>
      </c>
      <c r="B1949" s="7" t="str">
        <f>HYPERLINK("https://twitter.com/Mlp20142","@Mlp20142")</f>
        <v>@Mlp20142</v>
      </c>
      <c r="C1949" s="8" t="s">
        <v>7304</v>
      </c>
      <c r="D1949" s="9" t="s">
        <v>7305</v>
      </c>
      <c r="E1949" s="10" t="str">
        <f>HYPERLINK("https://twitter.com/Mlp20142/status/1064955470274838528","1064955470274838528")</f>
        <v>1064955470274838528</v>
      </c>
      <c r="F1949" s="11" t="s">
        <v>5034</v>
      </c>
      <c r="G1949" s="12"/>
      <c r="H1949" s="12"/>
      <c r="I1949" s="13">
        <v>0</v>
      </c>
      <c r="J1949" s="13">
        <v>0</v>
      </c>
      <c r="K1949" s="14" t="str">
        <f>HYPERLINK("http://twitter.com","Twitter Web Client")</f>
        <v>Twitter Web Client</v>
      </c>
      <c r="L1949" s="13">
        <v>23</v>
      </c>
      <c r="M1949" s="13">
        <v>12</v>
      </c>
      <c r="N1949" s="13">
        <v>0</v>
      </c>
      <c r="O1949" s="15"/>
      <c r="P1949" s="6">
        <v>42616.535439814819</v>
      </c>
      <c r="Q1949" s="12"/>
      <c r="R1949" s="19"/>
      <c r="S1949" s="12"/>
      <c r="T1949" s="12"/>
      <c r="U1949" s="10" t="str">
        <f>HYPERLINK("https://pbs.twimg.com/profile_images/772427166063755265/x87psjzv.jpg","View")</f>
        <v>View</v>
      </c>
    </row>
    <row r="1950" spans="1:21" ht="30.6">
      <c r="A1950" s="6">
        <v>43424.82980324074</v>
      </c>
      <c r="B1950" s="7" t="str">
        <f>HYPERLINK("https://twitter.com/LaVanguardia","@LaVanguardia")</f>
        <v>@LaVanguardia</v>
      </c>
      <c r="C1950" s="8" t="s">
        <v>3870</v>
      </c>
      <c r="D1950" s="9" t="s">
        <v>7276</v>
      </c>
      <c r="E1950" s="10" t="str">
        <f>HYPERLINK("https://twitter.com/LaVanguardia/status/1064955264854573058","1064955264854573058")</f>
        <v>1064955264854573058</v>
      </c>
      <c r="F1950" s="11" t="s">
        <v>7277</v>
      </c>
      <c r="G1950" s="12"/>
      <c r="H1950" s="12"/>
      <c r="I1950" s="13">
        <v>8</v>
      </c>
      <c r="J1950" s="13">
        <v>14</v>
      </c>
      <c r="K1950" s="14" t="str">
        <f>HYPERLINK("http://www.lavanguardia.es","App publicación twits DGRID")</f>
        <v>App publicación twits DGRID</v>
      </c>
      <c r="L1950" s="13">
        <v>997177</v>
      </c>
      <c r="M1950" s="13">
        <v>523</v>
      </c>
      <c r="N1950" s="13">
        <v>12535</v>
      </c>
      <c r="O1950" s="18" t="s">
        <v>36</v>
      </c>
      <c r="P1950" s="6">
        <v>40071.664548611108</v>
      </c>
      <c r="Q1950" s="16" t="s">
        <v>75</v>
      </c>
      <c r="R1950" s="17" t="s">
        <v>3878</v>
      </c>
      <c r="S1950" s="11" t="s">
        <v>3879</v>
      </c>
      <c r="T1950" s="12"/>
      <c r="U1950" s="10" t="str">
        <f>HYPERLINK("https://pbs.twimg.com/profile_images/936873783721320448/6Q97S0pp.jpg","View")</f>
        <v>View</v>
      </c>
    </row>
    <row r="1951" spans="1:21" ht="61.2">
      <c r="A1951" s="6">
        <v>43424.829722222217</v>
      </c>
      <c r="B1951" s="7" t="str">
        <f>HYPERLINK("https://twitter.com/habladorXXI","@habladorXXI")</f>
        <v>@habladorXXI</v>
      </c>
      <c r="C1951" s="8" t="s">
        <v>1144</v>
      </c>
      <c r="D1951" s="9" t="s">
        <v>4801</v>
      </c>
      <c r="E1951" s="10" t="str">
        <f>HYPERLINK("https://twitter.com/habladorXXI/status/1064955233720311808","1064955233720311808")</f>
        <v>1064955233720311808</v>
      </c>
      <c r="F1951" s="16" t="s">
        <v>4803</v>
      </c>
      <c r="G1951" s="12"/>
      <c r="H1951" s="12"/>
      <c r="I1951" s="13">
        <v>0</v>
      </c>
      <c r="J1951" s="13">
        <v>0</v>
      </c>
      <c r="K1951" s="14" t="str">
        <f t="shared" ref="K1951:K1952" si="415">HYPERLINK("http://twitter.com/download/android","Twitter for Android")</f>
        <v>Twitter for Android</v>
      </c>
      <c r="L1951" s="13">
        <v>84</v>
      </c>
      <c r="M1951" s="13">
        <v>285</v>
      </c>
      <c r="N1951" s="13">
        <v>4</v>
      </c>
      <c r="O1951" s="15"/>
      <c r="P1951" s="6">
        <v>41402.562754629631</v>
      </c>
      <c r="Q1951" s="16" t="s">
        <v>207</v>
      </c>
      <c r="R1951" s="17" t="s">
        <v>1148</v>
      </c>
      <c r="S1951" s="11" t="s">
        <v>1149</v>
      </c>
      <c r="T1951" s="12"/>
      <c r="U1951" s="10" t="str">
        <f>HYPERLINK("https://pbs.twimg.com/profile_images/3630482263/d7c92617c394ca1bf22e01cd85d9f690.jpeg","View")</f>
        <v>View</v>
      </c>
    </row>
    <row r="1952" spans="1:21" ht="30.6">
      <c r="A1952" s="6">
        <v>43424.829652777778</v>
      </c>
      <c r="B1952" s="7" t="str">
        <f>HYPERLINK("https://twitter.com/JcsGalicia","@JcsGalicia")</f>
        <v>@JcsGalicia</v>
      </c>
      <c r="C1952" s="8" t="s">
        <v>274</v>
      </c>
      <c r="D1952" s="9" t="s">
        <v>4804</v>
      </c>
      <c r="E1952" s="10" t="str">
        <f>HYPERLINK("https://twitter.com/JcsGalicia/status/1064955208743219200","1064955208743219200")</f>
        <v>1064955208743219200</v>
      </c>
      <c r="F1952" s="12"/>
      <c r="G1952" s="11" t="s">
        <v>4805</v>
      </c>
      <c r="H1952" s="12"/>
      <c r="I1952" s="13">
        <v>6</v>
      </c>
      <c r="J1952" s="13">
        <v>7</v>
      </c>
      <c r="K1952" s="14" t="str">
        <f t="shared" si="415"/>
        <v>Twitter for Android</v>
      </c>
      <c r="L1952" s="13">
        <v>658</v>
      </c>
      <c r="M1952" s="13">
        <v>511</v>
      </c>
      <c r="N1952" s="13">
        <v>1</v>
      </c>
      <c r="O1952" s="15"/>
      <c r="P1952" s="6">
        <v>43005.318553240737</v>
      </c>
      <c r="Q1952" s="12"/>
      <c r="R1952" s="17" t="s">
        <v>279</v>
      </c>
      <c r="S1952" s="12"/>
      <c r="T1952" s="12"/>
      <c r="U1952" s="10" t="str">
        <f>HYPERLINK("https://pbs.twimg.com/profile_images/1053554623733288960/m7VIj2qD.jpg","View")</f>
        <v>View</v>
      </c>
    </row>
    <row r="1953" spans="1:21" ht="51">
      <c r="A1953" s="6">
        <v>43424.829513888893</v>
      </c>
      <c r="B1953" s="7" t="str">
        <f>HYPERLINK("https://twitter.com/Jolualfe","@Jolualfe")</f>
        <v>@Jolualfe</v>
      </c>
      <c r="C1953" s="8" t="s">
        <v>7306</v>
      </c>
      <c r="D1953" s="9" t="s">
        <v>7307</v>
      </c>
      <c r="E1953" s="10" t="str">
        <f>HYPERLINK("https://twitter.com/Jolualfe/status/1064955160617578496","1064955160617578496")</f>
        <v>1064955160617578496</v>
      </c>
      <c r="F1953" s="11" t="s">
        <v>7308</v>
      </c>
      <c r="G1953" s="12"/>
      <c r="H1953" s="12"/>
      <c r="I1953" s="13">
        <v>0</v>
      </c>
      <c r="J1953" s="13">
        <v>0</v>
      </c>
      <c r="K1953" s="14" t="str">
        <f t="shared" ref="K1953:K1955" si="416">HYPERLINK("http://twitter.com","Twitter Web Client")</f>
        <v>Twitter Web Client</v>
      </c>
      <c r="L1953" s="13">
        <v>7215</v>
      </c>
      <c r="M1953" s="13">
        <v>7322</v>
      </c>
      <c r="N1953" s="13">
        <v>50</v>
      </c>
      <c r="O1953" s="15"/>
      <c r="P1953" s="6">
        <v>40386.153483796297</v>
      </c>
      <c r="Q1953" s="16" t="s">
        <v>7309</v>
      </c>
      <c r="R1953" s="17" t="s">
        <v>7310</v>
      </c>
      <c r="S1953" s="12"/>
      <c r="T1953" s="12"/>
      <c r="U1953" s="10" t="str">
        <f>HYPERLINK("https://pbs.twimg.com/profile_images/1276374797/Picture_2.png","View")</f>
        <v>View</v>
      </c>
    </row>
    <row r="1954" spans="1:21" ht="30.6">
      <c r="A1954" s="6">
        <v>43424.829247685186</v>
      </c>
      <c r="B1954" s="7" t="str">
        <f>HYPERLINK("https://twitter.com/Cazatalentos","@Cazatalentos")</f>
        <v>@Cazatalentos</v>
      </c>
      <c r="C1954" s="8" t="s">
        <v>4971</v>
      </c>
      <c r="D1954" s="9" t="s">
        <v>7251</v>
      </c>
      <c r="E1954" s="10" t="str">
        <f>HYPERLINK("https://twitter.com/Cazatalentos/status/1064955062957600768","1064955062957600768")</f>
        <v>1064955062957600768</v>
      </c>
      <c r="F1954" s="12"/>
      <c r="G1954" s="11" t="s">
        <v>2780</v>
      </c>
      <c r="H1954" s="12"/>
      <c r="I1954" s="13">
        <v>1285</v>
      </c>
      <c r="J1954" s="13">
        <v>2486</v>
      </c>
      <c r="K1954" s="14" t="str">
        <f t="shared" si="416"/>
        <v>Twitter Web Client</v>
      </c>
      <c r="L1954" s="13">
        <v>76599</v>
      </c>
      <c r="M1954" s="13">
        <v>7569</v>
      </c>
      <c r="N1954" s="13">
        <v>600</v>
      </c>
      <c r="O1954" s="15"/>
      <c r="P1954" s="6">
        <v>40586.020960648151</v>
      </c>
      <c r="Q1954" s="16" t="s">
        <v>37</v>
      </c>
      <c r="R1954" s="17" t="s">
        <v>4975</v>
      </c>
      <c r="S1954" s="12"/>
      <c r="T1954" s="12"/>
      <c r="U1954" s="10" t="str">
        <f>HYPERLINK("https://pbs.twimg.com/profile_images/1001624750798573568/y8QV7epd.jpg","View")</f>
        <v>View</v>
      </c>
    </row>
    <row r="1955" spans="1:21" ht="51">
      <c r="A1955" s="6">
        <v>43424.828773148147</v>
      </c>
      <c r="B1955" s="7" t="str">
        <f>HYPERLINK("https://twitter.com/MCaceresMari","@MCaceresMari")</f>
        <v>@MCaceresMari</v>
      </c>
      <c r="C1955" s="8" t="s">
        <v>7259</v>
      </c>
      <c r="D1955" s="9" t="s">
        <v>7298</v>
      </c>
      <c r="E1955" s="10" t="str">
        <f>HYPERLINK("https://twitter.com/MCaceresMari/status/1064954889611198465","1064954889611198465")</f>
        <v>1064954889611198465</v>
      </c>
      <c r="F1955" s="12"/>
      <c r="G1955" s="11" t="s">
        <v>7311</v>
      </c>
      <c r="H1955" s="12"/>
      <c r="I1955" s="13">
        <v>0</v>
      </c>
      <c r="J1955" s="13">
        <v>0</v>
      </c>
      <c r="K1955" s="14" t="str">
        <f t="shared" si="416"/>
        <v>Twitter Web Client</v>
      </c>
      <c r="L1955" s="13">
        <v>167</v>
      </c>
      <c r="M1955" s="13">
        <v>172</v>
      </c>
      <c r="N1955" s="13">
        <v>4</v>
      </c>
      <c r="O1955" s="15"/>
      <c r="P1955" s="6">
        <v>42328.69913194445</v>
      </c>
      <c r="Q1955" s="16" t="s">
        <v>118</v>
      </c>
      <c r="R1955" s="17" t="s">
        <v>7260</v>
      </c>
      <c r="S1955" s="12"/>
      <c r="T1955" s="12"/>
      <c r="U1955" s="10" t="str">
        <f>HYPERLINK("https://pbs.twimg.com/profile_images/1063900876820160512/BV1TuitY.jpg","View")</f>
        <v>View</v>
      </c>
    </row>
    <row r="1956" spans="1:21" ht="51">
      <c r="A1956" s="6">
        <v>43424.828564814816</v>
      </c>
      <c r="B1956" s="7" t="str">
        <f>HYPERLINK("https://twitter.com/BromiusBCN","@BromiusBCN")</f>
        <v>@BromiusBCN</v>
      </c>
      <c r="C1956" s="8" t="s">
        <v>7312</v>
      </c>
      <c r="D1956" s="9" t="s">
        <v>7313</v>
      </c>
      <c r="E1956" s="10" t="str">
        <f>HYPERLINK("https://twitter.com/BromiusBCN/status/1064954815778881536","1064954815778881536")</f>
        <v>1064954815778881536</v>
      </c>
      <c r="F1956" s="11" t="s">
        <v>7058</v>
      </c>
      <c r="G1956" s="12"/>
      <c r="H1956" s="12"/>
      <c r="I1956" s="13">
        <v>8</v>
      </c>
      <c r="J1956" s="13">
        <v>10</v>
      </c>
      <c r="K1956" s="14" t="str">
        <f>HYPERLINK("http://twitter.com/download/android","Twitter for Android")</f>
        <v>Twitter for Android</v>
      </c>
      <c r="L1956" s="13">
        <v>1860</v>
      </c>
      <c r="M1956" s="13">
        <v>883</v>
      </c>
      <c r="N1956" s="13">
        <v>6</v>
      </c>
      <c r="O1956" s="15"/>
      <c r="P1956" s="6">
        <v>43098.393541666665</v>
      </c>
      <c r="Q1956" s="16" t="s">
        <v>1474</v>
      </c>
      <c r="R1956" s="17" t="s">
        <v>7314</v>
      </c>
      <c r="S1956" s="11" t="s">
        <v>7315</v>
      </c>
      <c r="T1956" s="12"/>
      <c r="U1956" s="10" t="str">
        <f>HYPERLINK("https://pbs.twimg.com/profile_images/1053535046399868928/5zG4nRdC.jpg","View")</f>
        <v>View</v>
      </c>
    </row>
    <row r="1957" spans="1:21" ht="51">
      <c r="A1957" s="6">
        <v>43424.828252314815</v>
      </c>
      <c r="B1957" s="7" t="str">
        <f>HYPERLINK("https://twitter.com/GuajeSalvaje","@GuajeSalvaje")</f>
        <v>@GuajeSalvaje</v>
      </c>
      <c r="C1957" s="8" t="s">
        <v>7316</v>
      </c>
      <c r="D1957" s="9" t="s">
        <v>7317</v>
      </c>
      <c r="E1957" s="10" t="str">
        <f>HYPERLINK("https://twitter.com/GuajeSalvaje/status/1064954703992299523","1064954703992299523")</f>
        <v>1064954703992299523</v>
      </c>
      <c r="F1957" s="12"/>
      <c r="G1957" s="11" t="s">
        <v>3544</v>
      </c>
      <c r="H1957" s="12"/>
      <c r="I1957" s="13">
        <v>1246</v>
      </c>
      <c r="J1957" s="13">
        <v>2143</v>
      </c>
      <c r="K1957" s="14" t="str">
        <f>HYPERLINK("http://twitter.com","Twitter Web Client")</f>
        <v>Twitter Web Client</v>
      </c>
      <c r="L1957" s="13">
        <v>24965</v>
      </c>
      <c r="M1957" s="13">
        <v>6130</v>
      </c>
      <c r="N1957" s="13">
        <v>106</v>
      </c>
      <c r="O1957" s="15"/>
      <c r="P1957" s="6">
        <v>43020.705578703702</v>
      </c>
      <c r="Q1957" s="16" t="s">
        <v>5056</v>
      </c>
      <c r="R1957" s="17" t="s">
        <v>7318</v>
      </c>
      <c r="S1957" s="12"/>
      <c r="T1957" s="12"/>
      <c r="U1957" s="10" t="str">
        <f>HYPERLINK("https://pbs.twimg.com/profile_images/918501506097311755/uqEJjgtg.jpg","View")</f>
        <v>View</v>
      </c>
    </row>
    <row r="1958" spans="1:21" ht="51">
      <c r="A1958" s="6">
        <v>43424.827951388885</v>
      </c>
      <c r="B1958" s="7" t="str">
        <f>HYPERLINK("https://twitter.com/MCaceresMari","@MCaceresMari")</f>
        <v>@MCaceresMari</v>
      </c>
      <c r="C1958" s="8" t="s">
        <v>7259</v>
      </c>
      <c r="D1958" s="9" t="s">
        <v>7298</v>
      </c>
      <c r="E1958" s="10" t="str">
        <f>HYPERLINK("https://twitter.com/MCaceresMari/status/1064954594499932160","1064954594499932160")</f>
        <v>1064954594499932160</v>
      </c>
      <c r="F1958" s="12"/>
      <c r="G1958" s="12"/>
      <c r="H1958" s="12"/>
      <c r="I1958" s="13">
        <v>0</v>
      </c>
      <c r="J1958" s="13">
        <v>0</v>
      </c>
      <c r="K1958" s="14" t="str">
        <f>HYPERLINK("http://www.facebook.com/twitter","Facebook")</f>
        <v>Facebook</v>
      </c>
      <c r="L1958" s="13">
        <v>167</v>
      </c>
      <c r="M1958" s="13">
        <v>172</v>
      </c>
      <c r="N1958" s="13">
        <v>4</v>
      </c>
      <c r="O1958" s="15"/>
      <c r="P1958" s="6">
        <v>42328.69913194445</v>
      </c>
      <c r="Q1958" s="16" t="s">
        <v>118</v>
      </c>
      <c r="R1958" s="17" t="s">
        <v>7260</v>
      </c>
      <c r="S1958" s="12"/>
      <c r="T1958" s="12"/>
      <c r="U1958" s="10" t="str">
        <f>HYPERLINK("https://pbs.twimg.com/profile_images/1063900876820160512/BV1TuitY.jpg","View")</f>
        <v>View</v>
      </c>
    </row>
    <row r="1959" spans="1:21" ht="51">
      <c r="A1959" s="6">
        <v>43424.827800925923</v>
      </c>
      <c r="B1959" s="7" t="str">
        <f>HYPERLINK("https://twitter.com/lolakiki32","@lolakiki32")</f>
        <v>@lolakiki32</v>
      </c>
      <c r="C1959" s="8" t="s">
        <v>4806</v>
      </c>
      <c r="D1959" s="9" t="s">
        <v>4807</v>
      </c>
      <c r="E1959" s="10" t="str">
        <f>HYPERLINK("https://twitter.com/lolakiki32/status/1064954538724126727","1064954538724126727")</f>
        <v>1064954538724126727</v>
      </c>
      <c r="F1959" s="12"/>
      <c r="G1959" s="12"/>
      <c r="H1959" s="12"/>
      <c r="I1959" s="13">
        <v>19</v>
      </c>
      <c r="J1959" s="13">
        <v>10</v>
      </c>
      <c r="K1959" s="14" t="str">
        <f>HYPERLINK("http://twitter.com/download/android","Twitter for Android")</f>
        <v>Twitter for Android</v>
      </c>
      <c r="L1959" s="13">
        <v>118</v>
      </c>
      <c r="M1959" s="13">
        <v>477</v>
      </c>
      <c r="N1959" s="13">
        <v>0</v>
      </c>
      <c r="O1959" s="15"/>
      <c r="P1959" s="6">
        <v>40587.031666666662</v>
      </c>
      <c r="Q1959" s="16" t="s">
        <v>3253</v>
      </c>
      <c r="R1959" s="17" t="s">
        <v>4808</v>
      </c>
      <c r="S1959" s="12"/>
      <c r="T1959" s="12"/>
      <c r="U1959" s="10" t="str">
        <f>HYPERLINK("https://pbs.twimg.com/profile_images/939274069794590720/HZYsoYLS.jpg","View")</f>
        <v>View</v>
      </c>
    </row>
    <row r="1960" spans="1:21" ht="51">
      <c r="A1960" s="6">
        <v>43424.827476851853</v>
      </c>
      <c r="B1960" s="7" t="str">
        <f>HYPERLINK("https://twitter.com/MCaceresMari","@MCaceresMari")</f>
        <v>@MCaceresMari</v>
      </c>
      <c r="C1960" s="8" t="s">
        <v>7259</v>
      </c>
      <c r="D1960" s="9" t="s">
        <v>7298</v>
      </c>
      <c r="E1960" s="10" t="str">
        <f>HYPERLINK("https://twitter.com/MCaceresMari/status/1064954420453089280","1064954420453089280")</f>
        <v>1064954420453089280</v>
      </c>
      <c r="F1960" s="12"/>
      <c r="G1960" s="11" t="s">
        <v>7319</v>
      </c>
      <c r="H1960" s="12"/>
      <c r="I1960" s="13">
        <v>0</v>
      </c>
      <c r="J1960" s="13">
        <v>0</v>
      </c>
      <c r="K1960" s="14" t="str">
        <f>HYPERLINK("http://twitter.com","Twitter Web Client")</f>
        <v>Twitter Web Client</v>
      </c>
      <c r="L1960" s="13">
        <v>167</v>
      </c>
      <c r="M1960" s="13">
        <v>172</v>
      </c>
      <c r="N1960" s="13">
        <v>4</v>
      </c>
      <c r="O1960" s="15"/>
      <c r="P1960" s="6">
        <v>42328.69913194445</v>
      </c>
      <c r="Q1960" s="16" t="s">
        <v>118</v>
      </c>
      <c r="R1960" s="17" t="s">
        <v>7260</v>
      </c>
      <c r="S1960" s="12"/>
      <c r="T1960" s="12"/>
      <c r="U1960" s="10" t="str">
        <f>HYPERLINK("https://pbs.twimg.com/profile_images/1063900876820160512/BV1TuitY.jpg","View")</f>
        <v>View</v>
      </c>
    </row>
    <row r="1961" spans="1:21" ht="40.799999999999997">
      <c r="A1961" s="6">
        <v>43424.825659722221</v>
      </c>
      <c r="B1961" s="7" t="str">
        <f>HYPERLINK("https://twitter.com/Wertyalord1","@Wertyalord1")</f>
        <v>@Wertyalord1</v>
      </c>
      <c r="C1961" s="8" t="s">
        <v>6516</v>
      </c>
      <c r="D1961" s="9" t="s">
        <v>7320</v>
      </c>
      <c r="E1961" s="10" t="str">
        <f>HYPERLINK("https://twitter.com/Wertyalord1/status/1064953764057178112","1064953764057178112")</f>
        <v>1064953764057178112</v>
      </c>
      <c r="F1961" s="12"/>
      <c r="G1961" s="12"/>
      <c r="H1961" s="12"/>
      <c r="I1961" s="13">
        <v>1</v>
      </c>
      <c r="J1961" s="13">
        <v>1</v>
      </c>
      <c r="K1961" s="14" t="str">
        <f t="shared" ref="K1961:K1963" si="417">HYPERLINK("http://twitter.com/download/android","Twitter for Android")</f>
        <v>Twitter for Android</v>
      </c>
      <c r="L1961" s="13">
        <v>4591</v>
      </c>
      <c r="M1961" s="13">
        <v>3215</v>
      </c>
      <c r="N1961" s="13">
        <v>102</v>
      </c>
      <c r="O1961" s="15"/>
      <c r="P1961" s="6">
        <v>41363.48951388889</v>
      </c>
      <c r="Q1961" s="16" t="s">
        <v>6518</v>
      </c>
      <c r="R1961" s="17" t="s">
        <v>6519</v>
      </c>
      <c r="S1961" s="12"/>
      <c r="T1961" s="12"/>
      <c r="U1961" s="10" t="str">
        <f>HYPERLINK("https://pbs.twimg.com/profile_images/1003671021361205249/sAzGWgYk.jpg","View")</f>
        <v>View</v>
      </c>
    </row>
    <row r="1962" spans="1:21" ht="20.399999999999999">
      <c r="A1962" s="6">
        <v>43424.825092592597</v>
      </c>
      <c r="B1962" s="7" t="str">
        <f>HYPERLINK("https://twitter.com/DescaneAntifa","@DescaneAntifa")</f>
        <v>@DescaneAntifa</v>
      </c>
      <c r="C1962" s="8" t="s">
        <v>4809</v>
      </c>
      <c r="D1962" s="9" t="s">
        <v>4810</v>
      </c>
      <c r="E1962" s="10" t="str">
        <f>HYPERLINK("https://twitter.com/DescaneAntifa/status/1064953555394662402","1064953555394662402")</f>
        <v>1064953555394662402</v>
      </c>
      <c r="F1962" s="12"/>
      <c r="G1962" s="11" t="s">
        <v>4811</v>
      </c>
      <c r="H1962" s="12"/>
      <c r="I1962" s="13">
        <v>11</v>
      </c>
      <c r="J1962" s="13">
        <v>35</v>
      </c>
      <c r="K1962" s="14" t="str">
        <f t="shared" si="417"/>
        <v>Twitter for Android</v>
      </c>
      <c r="L1962" s="13">
        <v>613</v>
      </c>
      <c r="M1962" s="13">
        <v>390</v>
      </c>
      <c r="N1962" s="13">
        <v>3</v>
      </c>
      <c r="O1962" s="15"/>
      <c r="P1962" s="6">
        <v>43204.788078703699</v>
      </c>
      <c r="Q1962" s="16" t="s">
        <v>4812</v>
      </c>
      <c r="R1962" s="17" t="s">
        <v>4813</v>
      </c>
      <c r="S1962" s="11" t="s">
        <v>4814</v>
      </c>
      <c r="T1962" s="12"/>
      <c r="U1962" s="10" t="str">
        <f>HYPERLINK("https://pbs.twimg.com/profile_images/1034022754872451072/EC5kwvNL.jpg","View")</f>
        <v>View</v>
      </c>
    </row>
    <row r="1963" spans="1:21" ht="30.6">
      <c r="A1963" s="6">
        <v>43424.823715277773</v>
      </c>
      <c r="B1963" s="7" t="str">
        <f>HYPERLINK("https://twitter.com/mcyava","@mcyava")</f>
        <v>@mcyava</v>
      </c>
      <c r="C1963" s="8" t="s">
        <v>4817</v>
      </c>
      <c r="D1963" s="9" t="s">
        <v>4818</v>
      </c>
      <c r="E1963" s="10" t="str">
        <f>HYPERLINK("https://twitter.com/mcyava/status/1064953059435008001","1064953059435008001")</f>
        <v>1064953059435008001</v>
      </c>
      <c r="F1963" s="11" t="s">
        <v>4821</v>
      </c>
      <c r="G1963" s="12"/>
      <c r="H1963" s="12"/>
      <c r="I1963" s="13">
        <v>1</v>
      </c>
      <c r="J1963" s="13">
        <v>2</v>
      </c>
      <c r="K1963" s="14" t="str">
        <f t="shared" si="417"/>
        <v>Twitter for Android</v>
      </c>
      <c r="L1963" s="13">
        <v>16383</v>
      </c>
      <c r="M1963" s="13">
        <v>12698</v>
      </c>
      <c r="N1963" s="13">
        <v>88</v>
      </c>
      <c r="O1963" s="15"/>
      <c r="P1963" s="6">
        <v>40819.440150462964</v>
      </c>
      <c r="Q1963" s="16" t="s">
        <v>37</v>
      </c>
      <c r="R1963" s="17" t="s">
        <v>4822</v>
      </c>
      <c r="S1963" s="12"/>
      <c r="T1963" s="12"/>
      <c r="U1963" s="10" t="str">
        <f>HYPERLINK("https://pbs.twimg.com/profile_images/957202578210738176/msS95mss.jpg","View")</f>
        <v>View</v>
      </c>
    </row>
    <row r="1964" spans="1:21" ht="40.799999999999997">
      <c r="A1964" s="6">
        <v>43424.823206018518</v>
      </c>
      <c r="B1964" s="7" t="str">
        <f>HYPERLINK("https://twitter.com/Gallato7","@Gallato7")</f>
        <v>@Gallato7</v>
      </c>
      <c r="C1964" s="8" t="s">
        <v>4824</v>
      </c>
      <c r="D1964" s="9" t="s">
        <v>4825</v>
      </c>
      <c r="E1964" s="10" t="str">
        <f>HYPERLINK("https://twitter.com/Gallato7/status/1064952872255799299","1064952872255799299")</f>
        <v>1064952872255799299</v>
      </c>
      <c r="F1964" s="12"/>
      <c r="G1964" s="11" t="s">
        <v>4826</v>
      </c>
      <c r="H1964" s="12"/>
      <c r="I1964" s="13">
        <v>279</v>
      </c>
      <c r="J1964" s="13">
        <v>368</v>
      </c>
      <c r="K1964" s="14" t="str">
        <f>HYPERLINK("http://twitter.com","Twitter Web Client")</f>
        <v>Twitter Web Client</v>
      </c>
      <c r="L1964" s="13">
        <v>5861</v>
      </c>
      <c r="M1964" s="13">
        <v>376</v>
      </c>
      <c r="N1964" s="13">
        <v>65</v>
      </c>
      <c r="O1964" s="15"/>
      <c r="P1964" s="6">
        <v>41389.549270833333</v>
      </c>
      <c r="Q1964" s="16" t="s">
        <v>4827</v>
      </c>
      <c r="R1964" s="17" t="s">
        <v>4828</v>
      </c>
      <c r="S1964" s="11" t="s">
        <v>4829</v>
      </c>
      <c r="T1964" s="12"/>
      <c r="U1964" s="10" t="str">
        <f>HYPERLINK("https://pbs.twimg.com/profile_images/907359993682374656/hxYWjP_Z.jpg","View")</f>
        <v>View</v>
      </c>
    </row>
    <row r="1965" spans="1:21" ht="51">
      <c r="A1965" s="6">
        <v>43424.822916666672</v>
      </c>
      <c r="B1965" s="7" t="str">
        <f>HYPERLINK("https://twitter.com/Cs_Asturias","@Cs_Asturias")</f>
        <v>@Cs_Asturias</v>
      </c>
      <c r="C1965" s="8" t="s">
        <v>4697</v>
      </c>
      <c r="D1965" s="9" t="s">
        <v>4832</v>
      </c>
      <c r="E1965" s="10" t="str">
        <f>HYPERLINK("https://twitter.com/Cs_Asturias/status/1064952768350302208","1064952768350302208")</f>
        <v>1064952768350302208</v>
      </c>
      <c r="F1965" s="12"/>
      <c r="G1965" s="11" t="s">
        <v>4833</v>
      </c>
      <c r="H1965" s="12"/>
      <c r="I1965" s="13">
        <v>4</v>
      </c>
      <c r="J1965" s="13">
        <v>8</v>
      </c>
      <c r="K1965" s="14" t="str">
        <f>HYPERLINK("https://studio.twitter.com","Media Studio")</f>
        <v>Media Studio</v>
      </c>
      <c r="L1965" s="13">
        <v>5700</v>
      </c>
      <c r="M1965" s="13">
        <v>1484</v>
      </c>
      <c r="N1965" s="13">
        <v>98</v>
      </c>
      <c r="O1965" s="18" t="s">
        <v>36</v>
      </c>
      <c r="P1965" s="6">
        <v>41704.560023148151</v>
      </c>
      <c r="Q1965" s="12"/>
      <c r="R1965" s="17" t="s">
        <v>4702</v>
      </c>
      <c r="S1965" s="11" t="s">
        <v>473</v>
      </c>
      <c r="T1965" s="12"/>
      <c r="U1965" s="10" t="str">
        <f>HYPERLINK("https://pbs.twimg.com/profile_images/1053409692960075776/pqztNRjY.jpg","View")</f>
        <v>View</v>
      </c>
    </row>
    <row r="1966" spans="1:21" ht="51">
      <c r="A1966" s="6">
        <v>43424.822731481487</v>
      </c>
      <c r="B1966" s="7" t="str">
        <f>HYPERLINK("https://twitter.com/TejeraFernandez","@TejeraFernandez")</f>
        <v>@TejeraFernandez</v>
      </c>
      <c r="C1966" s="8" t="s">
        <v>4834</v>
      </c>
      <c r="D1966" s="9" t="s">
        <v>4835</v>
      </c>
      <c r="E1966" s="10" t="str">
        <f>HYPERLINK("https://twitter.com/TejeraFernandez/status/1064952701182795776","1064952701182795776")</f>
        <v>1064952701182795776</v>
      </c>
      <c r="F1966" s="12"/>
      <c r="G1966" s="11" t="s">
        <v>4836</v>
      </c>
      <c r="H1966" s="12"/>
      <c r="I1966" s="13">
        <v>19</v>
      </c>
      <c r="J1966" s="13">
        <v>14</v>
      </c>
      <c r="K1966" s="14" t="str">
        <f>HYPERLINK("http://twitter.com","Twitter Web Client")</f>
        <v>Twitter Web Client</v>
      </c>
      <c r="L1966" s="13">
        <v>1832</v>
      </c>
      <c r="M1966" s="13">
        <v>3187</v>
      </c>
      <c r="N1966" s="13">
        <v>1</v>
      </c>
      <c r="O1966" s="15"/>
      <c r="P1966" s="6">
        <v>43055.855624999997</v>
      </c>
      <c r="Q1966" s="12"/>
      <c r="R1966" s="19"/>
      <c r="S1966" s="12"/>
      <c r="T1966" s="12"/>
      <c r="U1966" s="10" t="str">
        <f>HYPERLINK("https://pbs.twimg.com/profile_images/932938519634481153/73NWIPTt.jpg","View")</f>
        <v>View</v>
      </c>
    </row>
    <row r="1967" spans="1:21" ht="20.399999999999999">
      <c r="A1967" s="6">
        <v>43424.822546296295</v>
      </c>
      <c r="B1967" s="7" t="str">
        <f>HYPERLINK("https://twitter.com/elhuron2","@elhuron2")</f>
        <v>@elhuron2</v>
      </c>
      <c r="C1967" s="8" t="s">
        <v>4103</v>
      </c>
      <c r="D1967" s="9" t="s">
        <v>7321</v>
      </c>
      <c r="E1967" s="10" t="str">
        <f>HYPERLINK("https://twitter.com/elhuron2/status/1064952634820440064","1064952634820440064")</f>
        <v>1064952634820440064</v>
      </c>
      <c r="F1967" s="11" t="s">
        <v>7322</v>
      </c>
      <c r="G1967" s="12"/>
      <c r="H1967" s="12"/>
      <c r="I1967" s="13">
        <v>0</v>
      </c>
      <c r="J1967" s="13">
        <v>0</v>
      </c>
      <c r="K1967" s="14" t="str">
        <f>HYPERLINK("https://www.google.com/","Google")</f>
        <v>Google</v>
      </c>
      <c r="L1967" s="13">
        <v>408</v>
      </c>
      <c r="M1967" s="13">
        <v>496</v>
      </c>
      <c r="N1967" s="13">
        <v>6</v>
      </c>
      <c r="O1967" s="15"/>
      <c r="P1967" s="6">
        <v>41869.952997685185</v>
      </c>
      <c r="Q1967" s="16" t="s">
        <v>4109</v>
      </c>
      <c r="R1967" s="17" t="s">
        <v>4110</v>
      </c>
      <c r="S1967" s="11" t="s">
        <v>4111</v>
      </c>
      <c r="T1967" s="12"/>
      <c r="U1967" s="10" t="str">
        <f>HYPERLINK("https://pbs.twimg.com/profile_images/803176150629515264/heYiZScX.jpg","View")</f>
        <v>View</v>
      </c>
    </row>
    <row r="1968" spans="1:21" ht="30.6">
      <c r="A1968" s="6">
        <v>43424.822083333333</v>
      </c>
      <c r="B1968" s="7" t="str">
        <f>HYPERLINK("https://twitter.com/sofia_miranda_","@sofia_miranda_")</f>
        <v>@sofia_miranda_</v>
      </c>
      <c r="C1968" s="8" t="s">
        <v>4837</v>
      </c>
      <c r="D1968" s="9" t="s">
        <v>4838</v>
      </c>
      <c r="E1968" s="10" t="str">
        <f>HYPERLINK("https://twitter.com/sofia_miranda_/status/1064952466528247809","1064952466528247809")</f>
        <v>1064952466528247809</v>
      </c>
      <c r="F1968" s="12"/>
      <c r="G1968" s="11" t="s">
        <v>4839</v>
      </c>
      <c r="H1968" s="12"/>
      <c r="I1968" s="13">
        <v>57</v>
      </c>
      <c r="J1968" s="13">
        <v>75</v>
      </c>
      <c r="K1968" s="14" t="str">
        <f>HYPERLINK("http://twitter.com/download/iphone","Twitter for iPhone")</f>
        <v>Twitter for iPhone</v>
      </c>
      <c r="L1968" s="13">
        <v>6514</v>
      </c>
      <c r="M1968" s="13">
        <v>1085</v>
      </c>
      <c r="N1968" s="13">
        <v>88</v>
      </c>
      <c r="O1968" s="15"/>
      <c r="P1968" s="6">
        <v>41928.71534722222</v>
      </c>
      <c r="Q1968" s="16" t="s">
        <v>4840</v>
      </c>
      <c r="R1968" s="17" t="s">
        <v>4841</v>
      </c>
      <c r="S1968" s="11" t="s">
        <v>4842</v>
      </c>
      <c r="T1968" s="12"/>
      <c r="U1968" s="10" t="str">
        <f>HYPERLINK("https://pbs.twimg.com/profile_images/1016326025935032321/E_u3dIAQ.jpg","View")</f>
        <v>View</v>
      </c>
    </row>
    <row r="1969" spans="1:21" ht="20.399999999999999">
      <c r="A1969" s="6">
        <v>43424.820752314816</v>
      </c>
      <c r="B1969" s="7" t="str">
        <f>HYPERLINK("https://twitter.com/sextaNoticias","@sextaNoticias")</f>
        <v>@sextaNoticias</v>
      </c>
      <c r="C1969" s="8" t="s">
        <v>3736</v>
      </c>
      <c r="D1969" s="9" t="s">
        <v>7323</v>
      </c>
      <c r="E1969" s="10" t="str">
        <f>HYPERLINK("https://twitter.com/sextaNoticias/status/1064951984942395398","1064951984942395398")</f>
        <v>1064951984942395398</v>
      </c>
      <c r="F1969" s="11" t="s">
        <v>7324</v>
      </c>
      <c r="G1969" s="12"/>
      <c r="H1969" s="12"/>
      <c r="I1969" s="13">
        <v>31</v>
      </c>
      <c r="J1969" s="13">
        <v>80</v>
      </c>
      <c r="K1969" s="14" t="str">
        <f>HYPERLINK("http://dogtrack.es","DogTrack_Oficial")</f>
        <v>DogTrack_Oficial</v>
      </c>
      <c r="L1969" s="13">
        <v>1108910</v>
      </c>
      <c r="M1969" s="13">
        <v>279</v>
      </c>
      <c r="N1969" s="13">
        <v>7292</v>
      </c>
      <c r="O1969" s="18" t="s">
        <v>36</v>
      </c>
      <c r="P1969" s="6">
        <v>40099.614328703705</v>
      </c>
      <c r="Q1969" s="12"/>
      <c r="R1969" s="17" t="s">
        <v>3740</v>
      </c>
      <c r="S1969" s="11" t="s">
        <v>3741</v>
      </c>
      <c r="T1969" s="12"/>
      <c r="U1969" s="10" t="str">
        <f>HYPERLINK("https://pbs.twimg.com/profile_images/898970208551022592/hh3ITSK-.jpg","View")</f>
        <v>View</v>
      </c>
    </row>
    <row r="1970" spans="1:21" ht="61.2">
      <c r="A1970" s="6">
        <v>43424.820104166662</v>
      </c>
      <c r="B1970" s="7" t="str">
        <f>HYPERLINK("https://twitter.com/TejeraFernandez","@TejeraFernandez")</f>
        <v>@TejeraFernandez</v>
      </c>
      <c r="C1970" s="8" t="s">
        <v>4834</v>
      </c>
      <c r="D1970" s="9" t="s">
        <v>4843</v>
      </c>
      <c r="E1970" s="10" t="str">
        <f>HYPERLINK("https://twitter.com/TejeraFernandez/status/1064951751227441153","1064951751227441153")</f>
        <v>1064951751227441153</v>
      </c>
      <c r="F1970" s="12"/>
      <c r="G1970" s="11" t="s">
        <v>4844</v>
      </c>
      <c r="H1970" s="12"/>
      <c r="I1970" s="13">
        <v>20</v>
      </c>
      <c r="J1970" s="13">
        <v>9</v>
      </c>
      <c r="K1970" s="14" t="str">
        <f>HYPERLINK("http://twitter.com","Twitter Web Client")</f>
        <v>Twitter Web Client</v>
      </c>
      <c r="L1970" s="13">
        <v>1832</v>
      </c>
      <c r="M1970" s="13">
        <v>3187</v>
      </c>
      <c r="N1970" s="13">
        <v>1</v>
      </c>
      <c r="O1970" s="15"/>
      <c r="P1970" s="6">
        <v>43055.855624999997</v>
      </c>
      <c r="Q1970" s="12"/>
      <c r="R1970" s="19"/>
      <c r="S1970" s="12"/>
      <c r="T1970" s="12"/>
      <c r="U1970" s="10" t="str">
        <f>HYPERLINK("https://pbs.twimg.com/profile_images/932938519634481153/73NWIPTt.jpg","View")</f>
        <v>View</v>
      </c>
    </row>
    <row r="1971" spans="1:21" ht="20.399999999999999">
      <c r="A1971" s="6">
        <v>43424.818842592591</v>
      </c>
      <c r="B1971" s="7" t="str">
        <f>HYPERLINK("https://twitter.com/ayelistrash","@ayelistrash")</f>
        <v>@ayelistrash</v>
      </c>
      <c r="C1971" s="8" t="s">
        <v>7325</v>
      </c>
      <c r="D1971" s="9" t="s">
        <v>7326</v>
      </c>
      <c r="E1971" s="10" t="str">
        <f>HYPERLINK("https://twitter.com/ayelistrash/status/1064951290713829376","1064951290713829376")</f>
        <v>1064951290713829376</v>
      </c>
      <c r="F1971" s="12"/>
      <c r="G1971" s="12"/>
      <c r="H1971" s="12"/>
      <c r="I1971" s="13">
        <v>0</v>
      </c>
      <c r="J1971" s="13">
        <v>2</v>
      </c>
      <c r="K1971" s="14" t="str">
        <f>HYPERLINK("https://about.twitter.com/products/tweetdeck","TweetDeck")</f>
        <v>TweetDeck</v>
      </c>
      <c r="L1971" s="13">
        <v>616</v>
      </c>
      <c r="M1971" s="13">
        <v>423</v>
      </c>
      <c r="N1971" s="13">
        <v>72</v>
      </c>
      <c r="O1971" s="15"/>
      <c r="P1971" s="6">
        <v>41229.774027777778</v>
      </c>
      <c r="Q1971" s="12"/>
      <c r="R1971" s="17" t="s">
        <v>7327</v>
      </c>
      <c r="S1971" s="12"/>
      <c r="T1971" s="12"/>
      <c r="U1971" s="10" t="str">
        <f>HYPERLINK("https://pbs.twimg.com/profile_images/1061320687594430464/BJY7SHwE.jpg","View")</f>
        <v>View</v>
      </c>
    </row>
    <row r="1972" spans="1:21" ht="30.6">
      <c r="A1972" s="6">
        <v>43424.817719907413</v>
      </c>
      <c r="B1972" s="7" t="str">
        <f>HYPERLINK("https://twitter.com/LlunaCatalana3","@LlunaCatalana3")</f>
        <v>@LlunaCatalana3</v>
      </c>
      <c r="C1972" s="8" t="s">
        <v>4848</v>
      </c>
      <c r="D1972" s="9" t="s">
        <v>4849</v>
      </c>
      <c r="E1972" s="10" t="str">
        <f>HYPERLINK("https://twitter.com/LlunaCatalana3/status/1064950883849510913","1064950883849510913")</f>
        <v>1064950883849510913</v>
      </c>
      <c r="F1972" s="12"/>
      <c r="G1972" s="11" t="s">
        <v>4850</v>
      </c>
      <c r="H1972" s="12"/>
      <c r="I1972" s="13">
        <v>33</v>
      </c>
      <c r="J1972" s="13">
        <v>64</v>
      </c>
      <c r="K1972" s="14" t="str">
        <f>HYPERLINK("http://twitter.com","Twitter Web Client")</f>
        <v>Twitter Web Client</v>
      </c>
      <c r="L1972" s="13">
        <v>14676</v>
      </c>
      <c r="M1972" s="13">
        <v>1890</v>
      </c>
      <c r="N1972" s="13">
        <v>58</v>
      </c>
      <c r="O1972" s="15"/>
      <c r="P1972" s="6">
        <v>43139.999212962968</v>
      </c>
      <c r="Q1972" s="16" t="s">
        <v>448</v>
      </c>
      <c r="R1972" s="17" t="s">
        <v>4851</v>
      </c>
      <c r="S1972" s="11" t="s">
        <v>4852</v>
      </c>
      <c r="T1972" s="12"/>
      <c r="U1972" s="10" t="str">
        <f>HYPERLINK("https://pbs.twimg.com/profile_images/961739894963036161/OZ6SCPky.jpg","View")</f>
        <v>View</v>
      </c>
    </row>
    <row r="1973" spans="1:21" ht="51">
      <c r="A1973" s="6">
        <v>43424.816666666666</v>
      </c>
      <c r="B1973" s="7" t="str">
        <f>HYPERLINK("https://twitter.com/Albert_Rivera","@Albert_Rivera")</f>
        <v>@Albert_Rivera</v>
      </c>
      <c r="C1973" s="8" t="s">
        <v>389</v>
      </c>
      <c r="D1973" s="9" t="s">
        <v>7328</v>
      </c>
      <c r="E1973" s="10" t="str">
        <f>HYPERLINK("https://twitter.com/Albert_Rivera/status/1064950502423740417","1064950502423740417")</f>
        <v>1064950502423740417</v>
      </c>
      <c r="F1973" s="12"/>
      <c r="G1973" s="11" t="s">
        <v>2770</v>
      </c>
      <c r="H1973" s="12"/>
      <c r="I1973" s="13">
        <v>1229</v>
      </c>
      <c r="J1973" s="13">
        <v>2367</v>
      </c>
      <c r="K1973" s="14" t="str">
        <f>HYPERLINK("http://twitter.com/download/iphone","Twitter for iPhone")</f>
        <v>Twitter for iPhone</v>
      </c>
      <c r="L1973" s="13">
        <v>1071530</v>
      </c>
      <c r="M1973" s="13">
        <v>2545</v>
      </c>
      <c r="N1973" s="13">
        <v>5104</v>
      </c>
      <c r="O1973" s="18" t="s">
        <v>36</v>
      </c>
      <c r="P1973" s="6">
        <v>40205.748171296298</v>
      </c>
      <c r="Q1973" s="16" t="s">
        <v>37</v>
      </c>
      <c r="R1973" s="17" t="s">
        <v>393</v>
      </c>
      <c r="S1973" s="11" t="s">
        <v>394</v>
      </c>
      <c r="T1973" s="12"/>
      <c r="U1973" s="10" t="str">
        <f>HYPERLINK("https://pbs.twimg.com/profile_images/1030708936779988993/RncDM4EZ.jpg","View")</f>
        <v>View</v>
      </c>
    </row>
    <row r="1974" spans="1:21" ht="40.799999999999997">
      <c r="A1974" s="6">
        <v>43424.815451388888</v>
      </c>
      <c r="B1974" s="7" t="str">
        <f>HYPERLINK("https://twitter.com/Luquenyo","@Luquenyo")</f>
        <v>@Luquenyo</v>
      </c>
      <c r="C1974" s="8" t="s">
        <v>2305</v>
      </c>
      <c r="D1974" s="9" t="s">
        <v>7222</v>
      </c>
      <c r="E1974" s="10" t="str">
        <f>HYPERLINK("https://twitter.com/Luquenyo/status/1064950062336417793","1064950062336417793")</f>
        <v>1064950062336417793</v>
      </c>
      <c r="F1974" s="11" t="s">
        <v>7223</v>
      </c>
      <c r="G1974" s="12"/>
      <c r="H1974" s="12"/>
      <c r="I1974" s="13">
        <v>0</v>
      </c>
      <c r="J1974" s="13">
        <v>0</v>
      </c>
      <c r="K1974" s="14" t="str">
        <f>HYPERLINK("http://twitter.com","Twitter Web Client")</f>
        <v>Twitter Web Client</v>
      </c>
      <c r="L1974" s="13">
        <v>367</v>
      </c>
      <c r="M1974" s="13">
        <v>282</v>
      </c>
      <c r="N1974" s="13">
        <v>19</v>
      </c>
      <c r="O1974" s="15"/>
      <c r="P1974" s="6">
        <v>40649.51326388889</v>
      </c>
      <c r="Q1974" s="16" t="s">
        <v>75</v>
      </c>
      <c r="R1974" s="17" t="s">
        <v>2307</v>
      </c>
      <c r="S1974" s="12"/>
      <c r="T1974" s="12"/>
      <c r="U1974" s="10" t="str">
        <f>HYPERLINK("https://pbs.twimg.com/profile_images/1490203872/img030.jpg","View")</f>
        <v>View</v>
      </c>
    </row>
    <row r="1975" spans="1:21" ht="81.599999999999994">
      <c r="A1975" s="6">
        <v>43424.814965277779</v>
      </c>
      <c r="B1975" s="7" t="str">
        <f>HYPERLINK("https://twitter.com/ForreMarti","@ForreMarti")</f>
        <v>@ForreMarti</v>
      </c>
      <c r="C1975" s="8" t="s">
        <v>4853</v>
      </c>
      <c r="D1975" s="9" t="s">
        <v>4854</v>
      </c>
      <c r="E1975" s="10" t="str">
        <f>HYPERLINK("https://twitter.com/ForreMarti/status/1064949888276971520","1064949888276971520")</f>
        <v>1064949888276971520</v>
      </c>
      <c r="F1975" s="16" t="s">
        <v>4855</v>
      </c>
      <c r="G1975" s="12"/>
      <c r="H1975" s="12"/>
      <c r="I1975" s="13">
        <v>2</v>
      </c>
      <c r="J1975" s="13">
        <v>3</v>
      </c>
      <c r="K1975" s="14" t="str">
        <f t="shared" ref="K1975:K1976" si="418">HYPERLINK("http://twitter.com/download/android","Twitter for Android")</f>
        <v>Twitter for Android</v>
      </c>
      <c r="L1975" s="13">
        <v>7243</v>
      </c>
      <c r="M1975" s="13">
        <v>6631</v>
      </c>
      <c r="N1975" s="13">
        <v>42</v>
      </c>
      <c r="O1975" s="15"/>
      <c r="P1975" s="6">
        <v>41016.547071759262</v>
      </c>
      <c r="Q1975" s="12"/>
      <c r="R1975" s="17" t="s">
        <v>4856</v>
      </c>
      <c r="S1975" s="12"/>
      <c r="T1975" s="12"/>
      <c r="U1975" s="10" t="str">
        <f>HYPERLINK("https://pbs.twimg.com/profile_images/814216120853008384/u-rWuJaY.jpg","View")</f>
        <v>View</v>
      </c>
    </row>
    <row r="1976" spans="1:21" ht="40.799999999999997">
      <c r="A1976" s="6">
        <v>43424.814953703702</v>
      </c>
      <c r="B1976" s="7" t="str">
        <f>HYPERLINK("https://twitter.com/juanortiz076","@juanortiz076")</f>
        <v>@juanortiz076</v>
      </c>
      <c r="C1976" s="8" t="s">
        <v>1209</v>
      </c>
      <c r="D1976" s="9" t="s">
        <v>7329</v>
      </c>
      <c r="E1976" s="10" t="str">
        <f>HYPERLINK("https://twitter.com/juanortiz076/status/1064949882916675586","1064949882916675586")</f>
        <v>1064949882916675586</v>
      </c>
      <c r="F1976" s="11" t="s">
        <v>4764</v>
      </c>
      <c r="G1976" s="12"/>
      <c r="H1976" s="12"/>
      <c r="I1976" s="13">
        <v>0</v>
      </c>
      <c r="J1976" s="13">
        <v>0</v>
      </c>
      <c r="K1976" s="14" t="str">
        <f t="shared" si="418"/>
        <v>Twitter for Android</v>
      </c>
      <c r="L1976" s="13">
        <v>3818</v>
      </c>
      <c r="M1976" s="13">
        <v>3796</v>
      </c>
      <c r="N1976" s="13">
        <v>14</v>
      </c>
      <c r="O1976" s="15"/>
      <c r="P1976" s="6">
        <v>42159.128587962958</v>
      </c>
      <c r="Q1976" s="16" t="s">
        <v>1214</v>
      </c>
      <c r="R1976" s="17" t="s">
        <v>1215</v>
      </c>
      <c r="S1976" s="12"/>
      <c r="T1976" s="12"/>
      <c r="U1976" s="10" t="str">
        <f>HYPERLINK("https://pbs.twimg.com/profile_images/1040108619843489794/3N6Z4LBp.jpg","View")</f>
        <v>View</v>
      </c>
    </row>
    <row r="1977" spans="1:21" ht="40.799999999999997">
      <c r="A1977" s="6">
        <v>43424.814444444448</v>
      </c>
      <c r="B1977" s="7" t="str">
        <f>HYPERLINK("https://twitter.com/jovenesCs","@jovenesCs")</f>
        <v>@jovenesCs</v>
      </c>
      <c r="C1977" s="8" t="s">
        <v>4857</v>
      </c>
      <c r="D1977" s="9" t="s">
        <v>4858</v>
      </c>
      <c r="E1977" s="10" t="str">
        <f>HYPERLINK("https://twitter.com/jovenesCs/status/1064949699898167296","1064949699898167296")</f>
        <v>1064949699898167296</v>
      </c>
      <c r="F1977" s="12"/>
      <c r="G1977" s="11" t="s">
        <v>4859</v>
      </c>
      <c r="H1977" s="12"/>
      <c r="I1977" s="13">
        <v>79</v>
      </c>
      <c r="J1977" s="13">
        <v>102</v>
      </c>
      <c r="K1977" s="14" t="str">
        <f t="shared" ref="K1977:K1979" si="419">HYPERLINK("http://twitter.com","Twitter Web Client")</f>
        <v>Twitter Web Client</v>
      </c>
      <c r="L1977" s="13">
        <v>12092</v>
      </c>
      <c r="M1977" s="13">
        <v>1837</v>
      </c>
      <c r="N1977" s="13">
        <v>139</v>
      </c>
      <c r="O1977" s="15"/>
      <c r="P1977" s="6">
        <v>40931.613634259258</v>
      </c>
      <c r="Q1977" s="16" t="s">
        <v>37</v>
      </c>
      <c r="R1977" s="17" t="s">
        <v>4860</v>
      </c>
      <c r="S1977" s="11" t="s">
        <v>298</v>
      </c>
      <c r="T1977" s="12"/>
      <c r="U1977" s="10" t="str">
        <f>HYPERLINK("https://pbs.twimg.com/profile_images/1053561153295659013/gcZsphSE.jpg","View")</f>
        <v>View</v>
      </c>
    </row>
    <row r="1978" spans="1:21" ht="40.799999999999997">
      <c r="A1978" s="6">
        <v>43424.814444444448</v>
      </c>
      <c r="B1978" s="7" t="str">
        <f>HYPERLINK("https://twitter.com/enriquedediegov","@enriquedediegov")</f>
        <v>@enriquedediegov</v>
      </c>
      <c r="C1978" s="8" t="s">
        <v>6915</v>
      </c>
      <c r="D1978" s="9" t="s">
        <v>6984</v>
      </c>
      <c r="E1978" s="10" t="str">
        <f>HYPERLINK("https://twitter.com/enriquedediegov/status/1064949697935228933","1064949697935228933")</f>
        <v>1064949697935228933</v>
      </c>
      <c r="F1978" s="11" t="s">
        <v>7330</v>
      </c>
      <c r="G1978" s="12"/>
      <c r="H1978" s="12"/>
      <c r="I1978" s="13">
        <v>0</v>
      </c>
      <c r="J1978" s="13">
        <v>1</v>
      </c>
      <c r="K1978" s="14" t="str">
        <f t="shared" si="419"/>
        <v>Twitter Web Client</v>
      </c>
      <c r="L1978" s="13">
        <v>7717</v>
      </c>
      <c r="M1978" s="13">
        <v>6025</v>
      </c>
      <c r="N1978" s="13">
        <v>180</v>
      </c>
      <c r="O1978" s="15"/>
      <c r="P1978" s="6">
        <v>41293.717129629629</v>
      </c>
      <c r="Q1978" s="16" t="s">
        <v>37</v>
      </c>
      <c r="R1978" s="17" t="s">
        <v>6919</v>
      </c>
      <c r="S1978" s="11" t="s">
        <v>6920</v>
      </c>
      <c r="T1978" s="12"/>
      <c r="U1978" s="10" t="str">
        <f>HYPERLINK("https://pbs.twimg.com/profile_images/3129623790/4ae197d01442e05dee4622297c3b9642.jpeg","View")</f>
        <v>View</v>
      </c>
    </row>
    <row r="1979" spans="1:21" ht="30.6">
      <c r="A1979" s="6">
        <v>43424.814189814817</v>
      </c>
      <c r="B1979" s="7" t="str">
        <f>HYPERLINK("https://twitter.com/jordimondragon","@jordimondragon")</f>
        <v>@jordimondragon</v>
      </c>
      <c r="C1979" s="8" t="s">
        <v>7331</v>
      </c>
      <c r="D1979" s="9" t="s">
        <v>7332</v>
      </c>
      <c r="E1979" s="10" t="str">
        <f>HYPERLINK("https://twitter.com/jordimondragon/status/1064949606516228096","1064949606516228096")</f>
        <v>1064949606516228096</v>
      </c>
      <c r="F1979" s="11" t="s">
        <v>7333</v>
      </c>
      <c r="G1979" s="12"/>
      <c r="H1979" s="12"/>
      <c r="I1979" s="13">
        <v>0</v>
      </c>
      <c r="J1979" s="13">
        <v>0</v>
      </c>
      <c r="K1979" s="14" t="str">
        <f t="shared" si="419"/>
        <v>Twitter Web Client</v>
      </c>
      <c r="L1979" s="13">
        <v>5568</v>
      </c>
      <c r="M1979" s="13">
        <v>3088</v>
      </c>
      <c r="N1979" s="13">
        <v>63</v>
      </c>
      <c r="O1979" s="15"/>
      <c r="P1979" s="6">
        <v>40349.418715277774</v>
      </c>
      <c r="Q1979" s="12"/>
      <c r="R1979" s="17" t="s">
        <v>7334</v>
      </c>
      <c r="S1979" s="11" t="s">
        <v>7335</v>
      </c>
      <c r="T1979" s="12"/>
      <c r="U1979" s="10" t="str">
        <f>HYPERLINK("https://pbs.twimg.com/profile_images/985075104387387392/0rx60vk9.jpg","View")</f>
        <v>View</v>
      </c>
    </row>
    <row r="1980" spans="1:21" ht="20.399999999999999">
      <c r="A1980" s="6">
        <v>43424.814120370371</v>
      </c>
      <c r="B1980" s="7" t="str">
        <f>HYPERLINK("https://twitter.com/Esquerra_ERC","@Esquerra_ERC")</f>
        <v>@Esquerra_ERC</v>
      </c>
      <c r="C1980" s="8" t="s">
        <v>7336</v>
      </c>
      <c r="D1980" s="9" t="s">
        <v>7337</v>
      </c>
      <c r="E1980" s="10" t="str">
        <f>HYPERLINK("https://twitter.com/Esquerra_ERC/status/1064949582600249350","1064949582600249350")</f>
        <v>1064949582600249350</v>
      </c>
      <c r="F1980" s="12"/>
      <c r="G1980" s="11" t="s">
        <v>2365</v>
      </c>
      <c r="H1980" s="12"/>
      <c r="I1980" s="13">
        <v>978</v>
      </c>
      <c r="J1980" s="13">
        <v>2463</v>
      </c>
      <c r="K1980" s="14" t="str">
        <f>HYPERLINK("https://studio.twitter.com","Media Studio")</f>
        <v>Media Studio</v>
      </c>
      <c r="L1980" s="13">
        <v>354371</v>
      </c>
      <c r="M1980" s="13">
        <v>100018</v>
      </c>
      <c r="N1980" s="13">
        <v>2150</v>
      </c>
      <c r="O1980" s="18" t="s">
        <v>36</v>
      </c>
      <c r="P1980" s="6">
        <v>40107.538483796292</v>
      </c>
      <c r="Q1980" s="16" t="s">
        <v>7338</v>
      </c>
      <c r="R1980" s="17" t="s">
        <v>7339</v>
      </c>
      <c r="S1980" s="11" t="s">
        <v>7340</v>
      </c>
      <c r="T1980" s="12"/>
      <c r="U1980" s="10" t="str">
        <f>HYPERLINK("https://pbs.twimg.com/profile_images/1012716494860537856/yQNRMJNN.jpg","View")</f>
        <v>View</v>
      </c>
    </row>
    <row r="1981" spans="1:21" ht="40.799999999999997">
      <c r="A1981" s="6">
        <v>43424.813900462963</v>
      </c>
      <c r="B1981" s="7" t="str">
        <f>HYPERLINK("https://twitter.com/enriquedediegov","@enriquedediegov")</f>
        <v>@enriquedediegov</v>
      </c>
      <c r="C1981" s="8" t="s">
        <v>6915</v>
      </c>
      <c r="D1981" s="9" t="s">
        <v>6984</v>
      </c>
      <c r="E1981" s="10" t="str">
        <f>HYPERLINK("https://twitter.com/enriquedediegov/status/1064949499725078528","1064949499725078528")</f>
        <v>1064949499725078528</v>
      </c>
      <c r="F1981" s="11" t="s">
        <v>7341</v>
      </c>
      <c r="G1981" s="12"/>
      <c r="H1981" s="12"/>
      <c r="I1981" s="13">
        <v>0</v>
      </c>
      <c r="J1981" s="13">
        <v>0</v>
      </c>
      <c r="K1981" s="14" t="str">
        <f t="shared" ref="K1981:K1984" si="420">HYPERLINK("http://twitter.com","Twitter Web Client")</f>
        <v>Twitter Web Client</v>
      </c>
      <c r="L1981" s="13">
        <v>7717</v>
      </c>
      <c r="M1981" s="13">
        <v>6025</v>
      </c>
      <c r="N1981" s="13">
        <v>180</v>
      </c>
      <c r="O1981" s="15"/>
      <c r="P1981" s="6">
        <v>41293.717129629629</v>
      </c>
      <c r="Q1981" s="16" t="s">
        <v>37</v>
      </c>
      <c r="R1981" s="17" t="s">
        <v>6919</v>
      </c>
      <c r="S1981" s="11" t="s">
        <v>6920</v>
      </c>
      <c r="T1981" s="12"/>
      <c r="U1981" s="10" t="str">
        <f>HYPERLINK("https://pbs.twimg.com/profile_images/3129623790/4ae197d01442e05dee4622297c3b9642.jpeg","View")</f>
        <v>View</v>
      </c>
    </row>
    <row r="1982" spans="1:21" ht="71.400000000000006">
      <c r="A1982" s="6">
        <v>43424.813692129625</v>
      </c>
      <c r="B1982" s="7" t="str">
        <f>HYPERLINK("https://twitter.com/andreapt85","@andreapt85")</f>
        <v>@andreapt85</v>
      </c>
      <c r="C1982" s="8" t="s">
        <v>1177</v>
      </c>
      <c r="D1982" s="9" t="s">
        <v>4861</v>
      </c>
      <c r="E1982" s="10" t="str">
        <f>HYPERLINK("https://twitter.com/andreapt85/status/1064949426647703553","1064949426647703553")</f>
        <v>1064949426647703553</v>
      </c>
      <c r="F1982" s="11" t="s">
        <v>4863</v>
      </c>
      <c r="G1982" s="11" t="s">
        <v>4864</v>
      </c>
      <c r="H1982" s="12"/>
      <c r="I1982" s="13">
        <v>1</v>
      </c>
      <c r="J1982" s="13">
        <v>1</v>
      </c>
      <c r="K1982" s="14" t="str">
        <f t="shared" si="420"/>
        <v>Twitter Web Client</v>
      </c>
      <c r="L1982" s="13">
        <v>689</v>
      </c>
      <c r="M1982" s="13">
        <v>1116</v>
      </c>
      <c r="N1982" s="13">
        <v>22</v>
      </c>
      <c r="O1982" s="15"/>
      <c r="P1982" s="6">
        <v>40596.342546296299</v>
      </c>
      <c r="Q1982" s="16" t="s">
        <v>1179</v>
      </c>
      <c r="R1982" s="17" t="s">
        <v>1180</v>
      </c>
      <c r="S1982" s="12"/>
      <c r="T1982" s="12"/>
      <c r="U1982" s="10" t="str">
        <f>HYPERLINK("https://pbs.twimg.com/profile_images/1063789726715559936/8b5BUv58.jpg","View")</f>
        <v>View</v>
      </c>
    </row>
    <row r="1983" spans="1:21" ht="51">
      <c r="A1983" s="6">
        <v>43424.813240740739</v>
      </c>
      <c r="B1983" s="7" t="str">
        <f>HYPERLINK("https://twitter.com/CsCanarias","@CsCanarias")</f>
        <v>@CsCanarias</v>
      </c>
      <c r="C1983" s="8" t="s">
        <v>4513</v>
      </c>
      <c r="D1983" s="9" t="s">
        <v>4832</v>
      </c>
      <c r="E1983" s="10" t="str">
        <f>HYPERLINK("https://twitter.com/CsCanarias/status/1064949262277124100","1064949262277124100")</f>
        <v>1064949262277124100</v>
      </c>
      <c r="F1983" s="12"/>
      <c r="G1983" s="11" t="s">
        <v>4865</v>
      </c>
      <c r="H1983" s="12"/>
      <c r="I1983" s="13">
        <v>13</v>
      </c>
      <c r="J1983" s="13">
        <v>9</v>
      </c>
      <c r="K1983" s="14" t="str">
        <f t="shared" si="420"/>
        <v>Twitter Web Client</v>
      </c>
      <c r="L1983" s="13">
        <v>6019</v>
      </c>
      <c r="M1983" s="13">
        <v>1914</v>
      </c>
      <c r="N1983" s="13">
        <v>127</v>
      </c>
      <c r="O1983" s="18" t="s">
        <v>36</v>
      </c>
      <c r="P1983" s="6">
        <v>41717.69872685185</v>
      </c>
      <c r="Q1983" s="16" t="s">
        <v>4517</v>
      </c>
      <c r="R1983" s="17" t="s">
        <v>4519</v>
      </c>
      <c r="S1983" s="11" t="s">
        <v>664</v>
      </c>
      <c r="T1983" s="12"/>
      <c r="U1983" s="10" t="str">
        <f>HYPERLINK("https://pbs.twimg.com/profile_images/1053380947650007041/1GQgoCCJ.png","View")</f>
        <v>View</v>
      </c>
    </row>
    <row r="1984" spans="1:21" ht="40.799999999999997">
      <c r="A1984" s="6">
        <v>43424.812962962962</v>
      </c>
      <c r="B1984" s="7" t="str">
        <f>HYPERLINK("https://twitter.com/protestona1","@protestona1")</f>
        <v>@protestona1</v>
      </c>
      <c r="C1984" s="8" t="s">
        <v>1078</v>
      </c>
      <c r="D1984" s="9" t="s">
        <v>7342</v>
      </c>
      <c r="E1984" s="10" t="str">
        <f>HYPERLINK("https://twitter.com/protestona1/status/1064949160376336384","1064949160376336384")</f>
        <v>1064949160376336384</v>
      </c>
      <c r="F1984" s="12"/>
      <c r="G1984" s="12"/>
      <c r="H1984" s="12"/>
      <c r="I1984" s="13">
        <v>127</v>
      </c>
      <c r="J1984" s="13">
        <v>476</v>
      </c>
      <c r="K1984" s="14" t="str">
        <f t="shared" si="420"/>
        <v>Twitter Web Client</v>
      </c>
      <c r="L1984" s="13">
        <v>151542</v>
      </c>
      <c r="M1984" s="13">
        <v>2210</v>
      </c>
      <c r="N1984" s="13">
        <v>4</v>
      </c>
      <c r="O1984" s="15"/>
      <c r="P1984" s="6">
        <v>41352.82136574074</v>
      </c>
      <c r="Q1984" s="16" t="s">
        <v>662</v>
      </c>
      <c r="R1984" s="17" t="s">
        <v>1082</v>
      </c>
      <c r="S1984" s="11" t="s">
        <v>1083</v>
      </c>
      <c r="T1984" s="12"/>
      <c r="U1984" s="10" t="str">
        <f>HYPERLINK("https://pbs.twimg.com/profile_images/1014938895501463552/_oCE6Q1b.jpg","View")</f>
        <v>View</v>
      </c>
    </row>
    <row r="1985" spans="1:21" ht="30.6">
      <c r="A1985" s="6">
        <v>43424.812662037039</v>
      </c>
      <c r="B1985" s="7" t="str">
        <f>HYPERLINK("https://twitter.com/elperiodico","@elperiodico")</f>
        <v>@elperiodico</v>
      </c>
      <c r="C1985" s="8" t="s">
        <v>1583</v>
      </c>
      <c r="D1985" s="9" t="s">
        <v>4121</v>
      </c>
      <c r="E1985" s="10" t="str">
        <f>HYPERLINK("https://twitter.com/elperiodico/status/1064949052272504832","1064949052272504832")</f>
        <v>1064949052272504832</v>
      </c>
      <c r="F1985" s="11" t="s">
        <v>4871</v>
      </c>
      <c r="G1985" s="12"/>
      <c r="H1985" s="12"/>
      <c r="I1985" s="13">
        <v>51</v>
      </c>
      <c r="J1985" s="13">
        <v>131</v>
      </c>
      <c r="K1985" s="14" t="str">
        <f>HYPERLINK("http://dogtrack.es","DogTrack_Oficial")</f>
        <v>DogTrack_Oficial</v>
      </c>
      <c r="L1985" s="13">
        <v>596514</v>
      </c>
      <c r="M1985" s="13">
        <v>18498</v>
      </c>
      <c r="N1985" s="13">
        <v>6922</v>
      </c>
      <c r="O1985" s="18" t="s">
        <v>36</v>
      </c>
      <c r="P1985" s="6">
        <v>40456.539560185185</v>
      </c>
      <c r="Q1985" s="16" t="s">
        <v>75</v>
      </c>
      <c r="R1985" s="17" t="s">
        <v>1588</v>
      </c>
      <c r="S1985" s="11" t="s">
        <v>1589</v>
      </c>
      <c r="T1985" s="12"/>
      <c r="U1985" s="10" t="str">
        <f>HYPERLINK("https://pbs.twimg.com/profile_images/876802324135653377/s4G6oS9o.jpg","View")</f>
        <v>View</v>
      </c>
    </row>
    <row r="1986" spans="1:21" ht="51">
      <c r="A1986" s="6">
        <v>43424.8125</v>
      </c>
      <c r="B1986" s="7" t="str">
        <f>HYPERLINK("https://twitter.com/Cs_Asturias","@Cs_Asturias")</f>
        <v>@Cs_Asturias</v>
      </c>
      <c r="C1986" s="8" t="s">
        <v>4697</v>
      </c>
      <c r="D1986" s="9" t="s">
        <v>4875</v>
      </c>
      <c r="E1986" s="10" t="str">
        <f>HYPERLINK("https://twitter.com/Cs_Asturias/status/1064948994290475008","1064948994290475008")</f>
        <v>1064948994290475008</v>
      </c>
      <c r="F1986" s="12"/>
      <c r="G1986" s="11" t="s">
        <v>4876</v>
      </c>
      <c r="H1986" s="12"/>
      <c r="I1986" s="13">
        <v>3</v>
      </c>
      <c r="J1986" s="13">
        <v>5</v>
      </c>
      <c r="K1986" s="14" t="str">
        <f>HYPERLINK("https://studio.twitter.com","Media Studio")</f>
        <v>Media Studio</v>
      </c>
      <c r="L1986" s="13">
        <v>5700</v>
      </c>
      <c r="M1986" s="13">
        <v>1484</v>
      </c>
      <c r="N1986" s="13">
        <v>98</v>
      </c>
      <c r="O1986" s="18" t="s">
        <v>36</v>
      </c>
      <c r="P1986" s="6">
        <v>41704.560023148151</v>
      </c>
      <c r="Q1986" s="12"/>
      <c r="R1986" s="17" t="s">
        <v>4702</v>
      </c>
      <c r="S1986" s="11" t="s">
        <v>473</v>
      </c>
      <c r="T1986" s="12"/>
      <c r="U1986" s="10" t="str">
        <f>HYPERLINK("https://pbs.twimg.com/profile_images/1053409692960075776/pqztNRjY.jpg","View")</f>
        <v>View</v>
      </c>
    </row>
    <row r="1987" spans="1:21" ht="20.399999999999999">
      <c r="A1987" s="6">
        <v>43424.81186342593</v>
      </c>
      <c r="B1987" s="7" t="str">
        <f>HYPERLINK("https://twitter.com/piketebow","@piketebow")</f>
        <v>@piketebow</v>
      </c>
      <c r="C1987" s="8" t="s">
        <v>7343</v>
      </c>
      <c r="D1987" s="9" t="s">
        <v>7344</v>
      </c>
      <c r="E1987" s="10" t="str">
        <f>HYPERLINK("https://twitter.com/piketebow/status/1064948761414184960","1064948761414184960")</f>
        <v>1064948761414184960</v>
      </c>
      <c r="F1987" s="11" t="s">
        <v>7345</v>
      </c>
      <c r="G1987" s="12"/>
      <c r="H1987" s="12"/>
      <c r="I1987" s="13">
        <v>0</v>
      </c>
      <c r="J1987" s="13">
        <v>0</v>
      </c>
      <c r="K1987" s="14" t="str">
        <f>HYPERLINK("https://dlvrit.com/","dlvr.it")</f>
        <v>dlvr.it</v>
      </c>
      <c r="L1987" s="13">
        <v>856</v>
      </c>
      <c r="M1987" s="13">
        <v>702</v>
      </c>
      <c r="N1987" s="13">
        <v>53</v>
      </c>
      <c r="O1987" s="15"/>
      <c r="P1987" s="6">
        <v>41451.827638888892</v>
      </c>
      <c r="Q1987" s="16" t="s">
        <v>7346</v>
      </c>
      <c r="R1987" s="17" t="s">
        <v>7347</v>
      </c>
      <c r="S1987" s="12"/>
      <c r="T1987" s="12"/>
      <c r="U1987" s="10" t="str">
        <f>HYPERLINK("https://pbs.twimg.com/profile_images/435416866165506049/KvR5a_yF.jpeg","View")</f>
        <v>View</v>
      </c>
    </row>
    <row r="1988" spans="1:21" ht="102">
      <c r="A1988" s="6">
        <v>43424.809849537036</v>
      </c>
      <c r="B1988" s="7" t="str">
        <f>HYPERLINK("https://twitter.com/MaeseLeiva","@MaeseLeiva")</f>
        <v>@MaeseLeiva</v>
      </c>
      <c r="C1988" s="8" t="s">
        <v>1417</v>
      </c>
      <c r="D1988" s="9" t="s">
        <v>4877</v>
      </c>
      <c r="E1988" s="10" t="str">
        <f>HYPERLINK("https://twitter.com/MaeseLeiva/status/1064948031638958081","1064948031638958081")</f>
        <v>1064948031638958081</v>
      </c>
      <c r="F1988" s="11" t="s">
        <v>4880</v>
      </c>
      <c r="G1988" s="11" t="s">
        <v>4881</v>
      </c>
      <c r="H1988" s="12"/>
      <c r="I1988" s="13">
        <v>0</v>
      </c>
      <c r="J1988" s="13">
        <v>1</v>
      </c>
      <c r="K1988" s="14" t="str">
        <f>HYPERLINK("http://twitter.com/download/android","Twitter for Android")</f>
        <v>Twitter for Android</v>
      </c>
      <c r="L1988" s="13">
        <v>208</v>
      </c>
      <c r="M1988" s="13">
        <v>739</v>
      </c>
      <c r="N1988" s="13">
        <v>1</v>
      </c>
      <c r="O1988" s="15"/>
      <c r="P1988" s="6">
        <v>40594.823287037041</v>
      </c>
      <c r="Q1988" s="16" t="s">
        <v>75</v>
      </c>
      <c r="R1988" s="19"/>
      <c r="S1988" s="12"/>
      <c r="T1988" s="12"/>
      <c r="U1988" s="10" t="str">
        <f>HYPERLINK("https://pbs.twimg.com/profile_images/1294529338/Perfil.jpg","View")</f>
        <v>View</v>
      </c>
    </row>
    <row r="1989" spans="1:21" ht="51">
      <c r="A1989" s="6">
        <v>43424.80914351852</v>
      </c>
      <c r="B1989" s="7" t="str">
        <f>HYPERLINK("https://twitter.com/GirautaOficial","@GirautaOficial")</f>
        <v>@GirautaOficial</v>
      </c>
      <c r="C1989" s="8" t="s">
        <v>2455</v>
      </c>
      <c r="D1989" s="9" t="s">
        <v>4884</v>
      </c>
      <c r="E1989" s="10" t="str">
        <f>HYPERLINK("https://twitter.com/GirautaOficial/status/1064947775434104833","1064947775434104833")</f>
        <v>1064947775434104833</v>
      </c>
      <c r="F1989" s="11" t="s">
        <v>4887</v>
      </c>
      <c r="G1989" s="12"/>
      <c r="H1989" s="12"/>
      <c r="I1989" s="13">
        <v>128</v>
      </c>
      <c r="J1989" s="13">
        <v>226</v>
      </c>
      <c r="K1989" s="14" t="str">
        <f>HYPERLINK("http://twitter.com/download/iphone","Twitter for iPhone")</f>
        <v>Twitter for iPhone</v>
      </c>
      <c r="L1989" s="13">
        <v>86776</v>
      </c>
      <c r="M1989" s="13">
        <v>2003</v>
      </c>
      <c r="N1989" s="13">
        <v>990</v>
      </c>
      <c r="O1989" s="18" t="s">
        <v>36</v>
      </c>
      <c r="P1989" s="6">
        <v>41621.818124999998</v>
      </c>
      <c r="Q1989" s="12"/>
      <c r="R1989" s="17" t="s">
        <v>2459</v>
      </c>
      <c r="S1989" s="11" t="s">
        <v>473</v>
      </c>
      <c r="T1989" s="12"/>
      <c r="U1989" s="10" t="str">
        <f>HYPERLINK("https://pbs.twimg.com/profile_images/820734017595207680/I1pC-01n.jpg","View")</f>
        <v>View</v>
      </c>
    </row>
    <row r="1990" spans="1:21" ht="71.400000000000006">
      <c r="A1990" s="6">
        <v>43424.808900462958</v>
      </c>
      <c r="B1990" s="7" t="str">
        <f>HYPERLINK("https://twitter.com/LaVozdeCasandra","@LaVozdeCasandra")</f>
        <v>@LaVozdeCasandra</v>
      </c>
      <c r="C1990" s="8" t="s">
        <v>4893</v>
      </c>
      <c r="D1990" s="9" t="s">
        <v>4894</v>
      </c>
      <c r="E1990" s="10" t="str">
        <f>HYPERLINK("https://twitter.com/LaVozdeCasandra/status/1064947687848636416","1064947687848636416")</f>
        <v>1064947687848636416</v>
      </c>
      <c r="F1990" s="11" t="s">
        <v>4880</v>
      </c>
      <c r="G1990" s="11" t="s">
        <v>4881</v>
      </c>
      <c r="H1990" s="12"/>
      <c r="I1990" s="13">
        <v>1</v>
      </c>
      <c r="J1990" s="13">
        <v>3</v>
      </c>
      <c r="K1990" s="14" t="str">
        <f t="shared" ref="K1990:K1993" si="421">HYPERLINK("http://twitter.com/download/android","Twitter for Android")</f>
        <v>Twitter for Android</v>
      </c>
      <c r="L1990" s="13">
        <v>2979</v>
      </c>
      <c r="M1990" s="13">
        <v>4336</v>
      </c>
      <c r="N1990" s="13">
        <v>36</v>
      </c>
      <c r="O1990" s="15"/>
      <c r="P1990" s="6">
        <v>40869.776712962965</v>
      </c>
      <c r="Q1990" s="12"/>
      <c r="R1990" s="17" t="s">
        <v>4897</v>
      </c>
      <c r="S1990" s="12"/>
      <c r="T1990" s="12"/>
      <c r="U1990" s="10" t="str">
        <f>HYPERLINK("https://pbs.twimg.com/profile_images/1057718656757628930/Bk1-ksgE.jpg","View")</f>
        <v>View</v>
      </c>
    </row>
    <row r="1991" spans="1:21" ht="51">
      <c r="A1991" s="6">
        <v>43424.80678240741</v>
      </c>
      <c r="B1991" s="7" t="str">
        <f>HYPERLINK("https://twitter.com/gines_rico","@gines_rico")</f>
        <v>@gines_rico</v>
      </c>
      <c r="C1991" s="8" t="s">
        <v>7348</v>
      </c>
      <c r="D1991" s="9" t="s">
        <v>7349</v>
      </c>
      <c r="E1991" s="10" t="str">
        <f>HYPERLINK("https://twitter.com/gines_rico/status/1064946922446864384","1064946922446864384")</f>
        <v>1064946922446864384</v>
      </c>
      <c r="F1991" s="12"/>
      <c r="G1991" s="12"/>
      <c r="H1991" s="12"/>
      <c r="I1991" s="13">
        <v>5</v>
      </c>
      <c r="J1991" s="13">
        <v>7</v>
      </c>
      <c r="K1991" s="14" t="str">
        <f t="shared" si="421"/>
        <v>Twitter for Android</v>
      </c>
      <c r="L1991" s="13">
        <v>2784</v>
      </c>
      <c r="M1991" s="13">
        <v>4993</v>
      </c>
      <c r="N1991" s="13">
        <v>13</v>
      </c>
      <c r="O1991" s="15"/>
      <c r="P1991" s="6">
        <v>40903.551192129627</v>
      </c>
      <c r="Q1991" s="16" t="s">
        <v>7350</v>
      </c>
      <c r="R1991" s="17" t="s">
        <v>7351</v>
      </c>
      <c r="S1991" s="12"/>
      <c r="T1991" s="12"/>
      <c r="U1991" s="10" t="str">
        <f>HYPERLINK("https://pbs.twimg.com/profile_images/1028734777174777856/OkaO-pKT.jpg","View")</f>
        <v>View</v>
      </c>
    </row>
    <row r="1992" spans="1:21" ht="40.799999999999997">
      <c r="A1992" s="6">
        <v>43424.806701388894</v>
      </c>
      <c r="B1992" s="7" t="str">
        <f>HYPERLINK("https://twitter.com/jafombuena","@jafombuena")</f>
        <v>@jafombuena</v>
      </c>
      <c r="C1992" s="8" t="s">
        <v>1171</v>
      </c>
      <c r="D1992" s="9" t="s">
        <v>4900</v>
      </c>
      <c r="E1992" s="10" t="str">
        <f>HYPERLINK("https://twitter.com/jafombuena/status/1064946893871030273","1064946893871030273")</f>
        <v>1064946893871030273</v>
      </c>
      <c r="F1992" s="11" t="s">
        <v>4764</v>
      </c>
      <c r="G1992" s="11" t="s">
        <v>4902</v>
      </c>
      <c r="H1992" s="12"/>
      <c r="I1992" s="13">
        <v>0</v>
      </c>
      <c r="J1992" s="13">
        <v>0</v>
      </c>
      <c r="K1992" s="14" t="str">
        <f t="shared" si="421"/>
        <v>Twitter for Android</v>
      </c>
      <c r="L1992" s="13">
        <v>2734</v>
      </c>
      <c r="M1992" s="13">
        <v>2901</v>
      </c>
      <c r="N1992" s="13">
        <v>40</v>
      </c>
      <c r="O1992" s="15"/>
      <c r="P1992" s="6">
        <v>41660.54755787037</v>
      </c>
      <c r="Q1992" s="16" t="s">
        <v>1175</v>
      </c>
      <c r="R1992" s="17" t="s">
        <v>1176</v>
      </c>
      <c r="S1992" s="12"/>
      <c r="T1992" s="12"/>
      <c r="U1992" s="10" t="str">
        <f>HYPERLINK("https://pbs.twimg.com/profile_images/1063894337841446912/QCLl8tWp.jpg","View")</f>
        <v>View</v>
      </c>
    </row>
    <row r="1993" spans="1:21" ht="30.6">
      <c r="A1993" s="6">
        <v>43424.80667824074</v>
      </c>
      <c r="B1993" s="7" t="str">
        <f>HYPERLINK("https://twitter.com/Josegonsan","@Josegonsan")</f>
        <v>@Josegonsan</v>
      </c>
      <c r="C1993" s="8" t="s">
        <v>112</v>
      </c>
      <c r="D1993" s="9" t="s">
        <v>7352</v>
      </c>
      <c r="E1993" s="10" t="str">
        <f>HYPERLINK("https://twitter.com/Josegonsan/status/1064946883343331335","1064946883343331335")</f>
        <v>1064946883343331335</v>
      </c>
      <c r="F1993" s="12"/>
      <c r="G1993" s="12"/>
      <c r="H1993" s="12"/>
      <c r="I1993" s="13">
        <v>0</v>
      </c>
      <c r="J1993" s="13">
        <v>0</v>
      </c>
      <c r="K1993" s="14" t="str">
        <f t="shared" si="421"/>
        <v>Twitter for Android</v>
      </c>
      <c r="L1993" s="13">
        <v>23</v>
      </c>
      <c r="M1993" s="13">
        <v>117</v>
      </c>
      <c r="N1993" s="13">
        <v>0</v>
      </c>
      <c r="O1993" s="15"/>
      <c r="P1993" s="6">
        <v>42171.603854166664</v>
      </c>
      <c r="Q1993" s="16" t="s">
        <v>116</v>
      </c>
      <c r="R1993" s="19"/>
      <c r="S1993" s="12"/>
      <c r="T1993" s="12"/>
      <c r="U1993" s="10" t="str">
        <f>HYPERLINK("https://pbs.twimg.com/profile_images/613410644201721857/9uDgGBog.jpg","View")</f>
        <v>View</v>
      </c>
    </row>
    <row r="1994" spans="1:21" ht="40.799999999999997">
      <c r="A1994" s="6">
        <v>43424.806469907402</v>
      </c>
      <c r="B1994" s="7" t="str">
        <f>HYPERLINK("https://twitter.com/MiriamRuiz_","@MiriamRuiz_")</f>
        <v>@MiriamRuiz_</v>
      </c>
      <c r="C1994" s="8" t="s">
        <v>4013</v>
      </c>
      <c r="D1994" s="9" t="s">
        <v>4905</v>
      </c>
      <c r="E1994" s="10" t="str">
        <f>HYPERLINK("https://twitter.com/MiriamRuiz_/status/1064946809796259840","1064946809796259840")</f>
        <v>1064946809796259840</v>
      </c>
      <c r="F1994" s="12"/>
      <c r="G1994" s="11" t="s">
        <v>4906</v>
      </c>
      <c r="H1994" s="12"/>
      <c r="I1994" s="13">
        <v>5</v>
      </c>
      <c r="J1994" s="13">
        <v>1</v>
      </c>
      <c r="K1994" s="14" t="str">
        <f>HYPERLINK("http://twitter.com","Twitter Web Client")</f>
        <v>Twitter Web Client</v>
      </c>
      <c r="L1994" s="13">
        <v>1480</v>
      </c>
      <c r="M1994" s="13">
        <v>1521</v>
      </c>
      <c r="N1994" s="13">
        <v>76</v>
      </c>
      <c r="O1994" s="15"/>
      <c r="P1994" s="6">
        <v>40651.457071759258</v>
      </c>
      <c r="Q1994" s="16" t="s">
        <v>496</v>
      </c>
      <c r="R1994" s="17" t="s">
        <v>4017</v>
      </c>
      <c r="S1994" s="11" t="s">
        <v>4018</v>
      </c>
      <c r="T1994" s="12"/>
      <c r="U1994" s="10" t="str">
        <f>HYPERLINK("https://pbs.twimg.com/profile_images/973159411047895041/6UpZ984C.jpg","View")</f>
        <v>View</v>
      </c>
    </row>
    <row r="1995" spans="1:21" ht="40.799999999999997">
      <c r="A1995" s="6">
        <v>43424.806030092594</v>
      </c>
      <c r="B1995" s="7" t="str">
        <f>HYPERLINK("https://twitter.com/Cs_Andalucia","@Cs_Andalucia")</f>
        <v>@Cs_Andalucia</v>
      </c>
      <c r="C1995" s="8" t="s">
        <v>900</v>
      </c>
      <c r="D1995" s="9" t="s">
        <v>4907</v>
      </c>
      <c r="E1995" s="10" t="str">
        <f>HYPERLINK("https://twitter.com/Cs_Andalucia/status/1064946648344858624","1064946648344858624")</f>
        <v>1064946648344858624</v>
      </c>
      <c r="F1995" s="12"/>
      <c r="G1995" s="11" t="s">
        <v>4908</v>
      </c>
      <c r="H1995" s="12"/>
      <c r="I1995" s="13">
        <v>20</v>
      </c>
      <c r="J1995" s="13">
        <v>29</v>
      </c>
      <c r="K1995" s="14" t="str">
        <f>HYPERLINK("https://studio.twitter.com","Media Studio")</f>
        <v>Media Studio</v>
      </c>
      <c r="L1995" s="13">
        <v>23662</v>
      </c>
      <c r="M1995" s="13">
        <v>1953</v>
      </c>
      <c r="N1995" s="13">
        <v>283</v>
      </c>
      <c r="O1995" s="18" t="s">
        <v>36</v>
      </c>
      <c r="P1995" s="6">
        <v>41486.77375</v>
      </c>
      <c r="Q1995" s="16" t="s">
        <v>181</v>
      </c>
      <c r="R1995" s="17" t="s">
        <v>903</v>
      </c>
      <c r="S1995" s="11" t="s">
        <v>904</v>
      </c>
      <c r="T1995" s="12"/>
      <c r="U1995" s="10" t="str">
        <f>HYPERLINK("https://pbs.twimg.com/profile_images/1058695543705231360/iGNXhBmQ.jpg","View")</f>
        <v>View</v>
      </c>
    </row>
    <row r="1996" spans="1:21" ht="40.799999999999997">
      <c r="A1996" s="6">
        <v>43424.805949074071</v>
      </c>
      <c r="B1996" s="7" t="str">
        <f>HYPERLINK("https://twitter.com/CsBarrax","@CsBarrax")</f>
        <v>@CsBarrax</v>
      </c>
      <c r="C1996" s="8" t="s">
        <v>4909</v>
      </c>
      <c r="D1996" s="9" t="s">
        <v>4910</v>
      </c>
      <c r="E1996" s="10" t="str">
        <f>HYPERLINK("https://twitter.com/CsBarrax/status/1064946619014135808","1064946619014135808")</f>
        <v>1064946619014135808</v>
      </c>
      <c r="F1996" s="12"/>
      <c r="G1996" s="11" t="s">
        <v>4911</v>
      </c>
      <c r="H1996" s="12"/>
      <c r="I1996" s="13">
        <v>9</v>
      </c>
      <c r="J1996" s="13">
        <v>10</v>
      </c>
      <c r="K1996" s="14" t="str">
        <f>HYPERLINK("http://twitter.com/download/iphone","Twitter for iPhone")</f>
        <v>Twitter for iPhone</v>
      </c>
      <c r="L1996" s="13">
        <v>78</v>
      </c>
      <c r="M1996" s="13">
        <v>98</v>
      </c>
      <c r="N1996" s="13">
        <v>0</v>
      </c>
      <c r="O1996" s="15"/>
      <c r="P1996" s="6">
        <v>43398.751296296294</v>
      </c>
      <c r="Q1996" s="16" t="s">
        <v>4912</v>
      </c>
      <c r="R1996" s="17" t="s">
        <v>4913</v>
      </c>
      <c r="S1996" s="11" t="s">
        <v>1320</v>
      </c>
      <c r="T1996" s="12"/>
      <c r="U1996" s="10" t="str">
        <f>HYPERLINK("https://pbs.twimg.com/profile_images/1055490132667707397/IhYEdGdK.jpg","View")</f>
        <v>View</v>
      </c>
    </row>
    <row r="1997" spans="1:21" ht="30.6">
      <c r="A1997" s="6">
        <v>43424.805902777778</v>
      </c>
      <c r="B1997" s="7" t="str">
        <f>HYPERLINK("https://twitter.com/compos24horas","@compos24horas")</f>
        <v>@compos24horas</v>
      </c>
      <c r="C1997" s="20" t="s">
        <v>3559</v>
      </c>
      <c r="D1997" s="9" t="s">
        <v>4915</v>
      </c>
      <c r="E1997" s="10" t="str">
        <f>HYPERLINK("https://twitter.com/compos24horas/status/1064946604728299520","1064946604728299520")</f>
        <v>1064946604728299520</v>
      </c>
      <c r="F1997" s="11" t="s">
        <v>4917</v>
      </c>
      <c r="G1997" s="12"/>
      <c r="H1997" s="12"/>
      <c r="I1997" s="13">
        <v>1</v>
      </c>
      <c r="J1997" s="13">
        <v>1</v>
      </c>
      <c r="K1997" s="14" t="str">
        <f>HYPERLINK("http://twitter.com","Twitter Web Client")</f>
        <v>Twitter Web Client</v>
      </c>
      <c r="L1997" s="13">
        <v>726</v>
      </c>
      <c r="M1997" s="13">
        <v>370</v>
      </c>
      <c r="N1997" s="13">
        <v>4</v>
      </c>
      <c r="O1997" s="15"/>
      <c r="P1997" s="6">
        <v>43109.804224537038</v>
      </c>
      <c r="Q1997" s="16" t="s">
        <v>3562</v>
      </c>
      <c r="R1997" s="17" t="s">
        <v>3563</v>
      </c>
      <c r="S1997" s="11" t="s">
        <v>3564</v>
      </c>
      <c r="T1997" s="12"/>
      <c r="U1997" s="10" t="str">
        <f>HYPERLINK("https://pbs.twimg.com/profile_images/958526261055447040/XgG_HVQB.jpg","View")</f>
        <v>View</v>
      </c>
    </row>
    <row r="1998" spans="1:21" ht="30.6">
      <c r="A1998" s="6">
        <v>43424.805717592593</v>
      </c>
      <c r="B1998" s="7" t="str">
        <f>HYPERLINK("https://twitter.com/ESPipaon","@ESPipaon")</f>
        <v>@ESPipaon</v>
      </c>
      <c r="C1998" s="8" t="s">
        <v>7353</v>
      </c>
      <c r="D1998" s="9" t="s">
        <v>7354</v>
      </c>
      <c r="E1998" s="10" t="str">
        <f>HYPERLINK("https://twitter.com/ESPipaon/status/1064946533995634689","1064946533995634689")</f>
        <v>1064946533995634689</v>
      </c>
      <c r="F1998" s="11" t="s">
        <v>4764</v>
      </c>
      <c r="G1998" s="12"/>
      <c r="H1998" s="12"/>
      <c r="I1998" s="13">
        <v>2</v>
      </c>
      <c r="J1998" s="13">
        <v>2</v>
      </c>
      <c r="K1998" s="14" t="str">
        <f>HYPERLINK("http://twitter.com/#!/download/ipad","Twitter for iPad")</f>
        <v>Twitter for iPad</v>
      </c>
      <c r="L1998" s="13">
        <v>138</v>
      </c>
      <c r="M1998" s="13">
        <v>193</v>
      </c>
      <c r="N1998" s="13">
        <v>0</v>
      </c>
      <c r="O1998" s="15"/>
      <c r="P1998" s="6">
        <v>43252.456689814819</v>
      </c>
      <c r="Q1998" s="16" t="s">
        <v>7355</v>
      </c>
      <c r="R1998" s="17" t="s">
        <v>7356</v>
      </c>
      <c r="S1998" s="12"/>
      <c r="T1998" s="12"/>
      <c r="U1998" s="10" t="str">
        <f>HYPERLINK("https://pbs.twimg.com/profile_images/1020708562199343104/Ud45Uail.jpg","View")</f>
        <v>View</v>
      </c>
    </row>
    <row r="1999" spans="1:21" ht="40.799999999999997">
      <c r="A1999" s="6">
        <v>43424.803888888884</v>
      </c>
      <c r="B1999" s="7" t="str">
        <f>HYPERLINK("https://twitter.com/jafombuena","@jafombuena")</f>
        <v>@jafombuena</v>
      </c>
      <c r="C1999" s="8" t="s">
        <v>1171</v>
      </c>
      <c r="D1999" s="9" t="s">
        <v>7357</v>
      </c>
      <c r="E1999" s="10" t="str">
        <f>HYPERLINK("https://twitter.com/jafombuena/status/1064945871001927683","1064945871001927683")</f>
        <v>1064945871001927683</v>
      </c>
      <c r="F1999" s="11" t="s">
        <v>5034</v>
      </c>
      <c r="G1999" s="12"/>
      <c r="H1999" s="12"/>
      <c r="I1999" s="13">
        <v>0</v>
      </c>
      <c r="J1999" s="13">
        <v>0</v>
      </c>
      <c r="K1999" s="14" t="str">
        <f>HYPERLINK("https://paper.li","Paper.li")</f>
        <v>Paper.li</v>
      </c>
      <c r="L1999" s="13">
        <v>2734</v>
      </c>
      <c r="M1999" s="13">
        <v>2901</v>
      </c>
      <c r="N1999" s="13">
        <v>40</v>
      </c>
      <c r="O1999" s="15"/>
      <c r="P1999" s="6">
        <v>41660.54755787037</v>
      </c>
      <c r="Q1999" s="16" t="s">
        <v>1175</v>
      </c>
      <c r="R1999" s="17" t="s">
        <v>1176</v>
      </c>
      <c r="S1999" s="12"/>
      <c r="T1999" s="12"/>
      <c r="U1999" s="10" t="str">
        <f>HYPERLINK("https://pbs.twimg.com/profile_images/1063894337841446912/QCLl8tWp.jpg","View")</f>
        <v>View</v>
      </c>
    </row>
    <row r="2000" spans="1:21" ht="40.799999999999997">
      <c r="A2000" s="6">
        <v>43424.803831018522</v>
      </c>
      <c r="B2000" s="7" t="str">
        <f>HYPERLINK("https://twitter.com/PatriciaGuaspB","@PatriciaGuaspB")</f>
        <v>@PatriciaGuaspB</v>
      </c>
      <c r="C2000" s="8" t="s">
        <v>4919</v>
      </c>
      <c r="D2000" s="9" t="s">
        <v>4920</v>
      </c>
      <c r="E2000" s="10" t="str">
        <f>HYPERLINK("https://twitter.com/PatriciaGuaspB/status/1064945850076602373","1064945850076602373")</f>
        <v>1064945850076602373</v>
      </c>
      <c r="F2000" s="11" t="s">
        <v>3867</v>
      </c>
      <c r="G2000" s="12"/>
      <c r="H2000" s="12"/>
      <c r="I2000" s="13">
        <v>5</v>
      </c>
      <c r="J2000" s="13">
        <v>4</v>
      </c>
      <c r="K2000" s="14" t="str">
        <f>HYPERLINK("http://twitter.com/download/iphone","Twitter for iPhone")</f>
        <v>Twitter for iPhone</v>
      </c>
      <c r="L2000" s="13">
        <v>2158</v>
      </c>
      <c r="M2000" s="13">
        <v>2846</v>
      </c>
      <c r="N2000" s="13">
        <v>40</v>
      </c>
      <c r="O2000" s="15"/>
      <c r="P2000" s="6">
        <v>41071.607222222221</v>
      </c>
      <c r="Q2000" s="12"/>
      <c r="R2000" s="17" t="s">
        <v>4923</v>
      </c>
      <c r="S2000" s="11" t="s">
        <v>4924</v>
      </c>
      <c r="T2000" s="12"/>
      <c r="U2000" s="10" t="str">
        <f>HYPERLINK("https://pbs.twimg.com/profile_images/976590569706225664/raabmDeb.jpg","View")</f>
        <v>View</v>
      </c>
    </row>
    <row r="2001" spans="1:21" ht="51">
      <c r="A2001" s="6">
        <v>43424.803275462968</v>
      </c>
      <c r="B2001" s="7" t="str">
        <f>HYPERLINK("https://twitter.com/lolakiki32","@lolakiki32")</f>
        <v>@lolakiki32</v>
      </c>
      <c r="C2001" s="8" t="s">
        <v>4806</v>
      </c>
      <c r="D2001" s="9" t="s">
        <v>4927</v>
      </c>
      <c r="E2001" s="10" t="str">
        <f>HYPERLINK("https://twitter.com/lolakiki32/status/1064945649802797056","1064945649802797056")</f>
        <v>1064945649802797056</v>
      </c>
      <c r="F2001" s="12"/>
      <c r="G2001" s="12"/>
      <c r="H2001" s="12"/>
      <c r="I2001" s="13">
        <v>34</v>
      </c>
      <c r="J2001" s="13">
        <v>10</v>
      </c>
      <c r="K2001" s="14" t="str">
        <f>HYPERLINK("http://twitter.com/download/android","Twitter for Android")</f>
        <v>Twitter for Android</v>
      </c>
      <c r="L2001" s="13">
        <v>118</v>
      </c>
      <c r="M2001" s="13">
        <v>477</v>
      </c>
      <c r="N2001" s="13">
        <v>0</v>
      </c>
      <c r="O2001" s="15"/>
      <c r="P2001" s="6">
        <v>40587.031666666662</v>
      </c>
      <c r="Q2001" s="16" t="s">
        <v>3253</v>
      </c>
      <c r="R2001" s="17" t="s">
        <v>4808</v>
      </c>
      <c r="S2001" s="12"/>
      <c r="T2001" s="12"/>
      <c r="U2001" s="10" t="str">
        <f>HYPERLINK("https://pbs.twimg.com/profile_images/939274069794590720/HZYsoYLS.jpg","View")</f>
        <v>View</v>
      </c>
    </row>
    <row r="2002" spans="1:21" ht="30.6">
      <c r="A2002" s="6">
        <v>43424.803101851852</v>
      </c>
      <c r="B2002" s="7" t="str">
        <f>HYPERLINK("https://twitter.com/NaranjitoExpres","@NaranjitoExpres")</f>
        <v>@NaranjitoExpres</v>
      </c>
      <c r="C2002" s="8" t="s">
        <v>2637</v>
      </c>
      <c r="D2002" s="9" t="s">
        <v>7358</v>
      </c>
      <c r="E2002" s="10" t="str">
        <f>HYPERLINK("https://twitter.com/NaranjitoExpres/status/1064945589610340356","1064945589610340356")</f>
        <v>1064945589610340356</v>
      </c>
      <c r="F2002" s="11" t="s">
        <v>7359</v>
      </c>
      <c r="G2002" s="12"/>
      <c r="H2002" s="12"/>
      <c r="I2002" s="13">
        <v>0</v>
      </c>
      <c r="J2002" s="13">
        <v>0</v>
      </c>
      <c r="K2002" s="14" t="str">
        <f>HYPERLINK("https://ifttt.com","IFTTT")</f>
        <v>IFTTT</v>
      </c>
      <c r="L2002" s="13">
        <v>1336</v>
      </c>
      <c r="M2002" s="13">
        <v>1186</v>
      </c>
      <c r="N2002" s="13">
        <v>8</v>
      </c>
      <c r="O2002" s="15"/>
      <c r="P2002" s="6">
        <v>42301.67768518519</v>
      </c>
      <c r="Q2002" s="16" t="s">
        <v>118</v>
      </c>
      <c r="R2002" s="17" t="s">
        <v>2643</v>
      </c>
      <c r="S2002" s="11" t="s">
        <v>1880</v>
      </c>
      <c r="T2002" s="12"/>
      <c r="U2002" s="10" t="str">
        <f>HYPERLINK("https://pbs.twimg.com/profile_images/894744160279941120/fVCv-yaU.jpg","View")</f>
        <v>View</v>
      </c>
    </row>
    <row r="2003" spans="1:21" ht="40.799999999999997">
      <c r="A2003" s="6">
        <v>43424.802673611106</v>
      </c>
      <c r="B2003" s="7" t="str">
        <f>HYPERLINK("https://twitter.com/enriquedediegov","@enriquedediegov")</f>
        <v>@enriquedediegov</v>
      </c>
      <c r="C2003" s="8" t="s">
        <v>6915</v>
      </c>
      <c r="D2003" s="9" t="s">
        <v>6984</v>
      </c>
      <c r="E2003" s="10" t="str">
        <f>HYPERLINK("https://twitter.com/enriquedediegov/status/1064945431577272321","1064945431577272321")</f>
        <v>1064945431577272321</v>
      </c>
      <c r="F2003" s="11" t="s">
        <v>7360</v>
      </c>
      <c r="G2003" s="12"/>
      <c r="H2003" s="12"/>
      <c r="I2003" s="13">
        <v>0</v>
      </c>
      <c r="J2003" s="13">
        <v>2</v>
      </c>
      <c r="K2003" s="14" t="str">
        <f>HYPERLINK("http://twitter.com","Twitter Web Client")</f>
        <v>Twitter Web Client</v>
      </c>
      <c r="L2003" s="13">
        <v>7717</v>
      </c>
      <c r="M2003" s="13">
        <v>6025</v>
      </c>
      <c r="N2003" s="13">
        <v>180</v>
      </c>
      <c r="O2003" s="15"/>
      <c r="P2003" s="6">
        <v>41293.717129629629</v>
      </c>
      <c r="Q2003" s="16" t="s">
        <v>37</v>
      </c>
      <c r="R2003" s="17" t="s">
        <v>6919</v>
      </c>
      <c r="S2003" s="11" t="s">
        <v>6920</v>
      </c>
      <c r="T2003" s="12"/>
      <c r="U2003" s="10" t="str">
        <f>HYPERLINK("https://pbs.twimg.com/profile_images/3129623790/4ae197d01442e05dee4622297c3b9642.jpeg","View")</f>
        <v>View</v>
      </c>
    </row>
    <row r="2004" spans="1:21" ht="51">
      <c r="A2004" s="6">
        <v>43424.802083333328</v>
      </c>
      <c r="B2004" s="7" t="str">
        <f>HYPERLINK("https://twitter.com/Cs_Asturias","@Cs_Asturias")</f>
        <v>@Cs_Asturias</v>
      </c>
      <c r="C2004" s="8" t="s">
        <v>4697</v>
      </c>
      <c r="D2004" s="9" t="s">
        <v>4931</v>
      </c>
      <c r="E2004" s="10" t="str">
        <f>HYPERLINK("https://twitter.com/Cs_Asturias/status/1064945218321928192","1064945218321928192")</f>
        <v>1064945218321928192</v>
      </c>
      <c r="F2004" s="12"/>
      <c r="G2004" s="11" t="s">
        <v>4932</v>
      </c>
      <c r="H2004" s="12"/>
      <c r="I2004" s="13">
        <v>2</v>
      </c>
      <c r="J2004" s="13">
        <v>2</v>
      </c>
      <c r="K2004" s="14" t="str">
        <f>HYPERLINK("https://studio.twitter.com","Media Studio")</f>
        <v>Media Studio</v>
      </c>
      <c r="L2004" s="13">
        <v>5700</v>
      </c>
      <c r="M2004" s="13">
        <v>1484</v>
      </c>
      <c r="N2004" s="13">
        <v>98</v>
      </c>
      <c r="O2004" s="18" t="s">
        <v>36</v>
      </c>
      <c r="P2004" s="6">
        <v>41704.560023148151</v>
      </c>
      <c r="Q2004" s="12"/>
      <c r="R2004" s="17" t="s">
        <v>4702</v>
      </c>
      <c r="S2004" s="11" t="s">
        <v>473</v>
      </c>
      <c r="T2004" s="12"/>
      <c r="U2004" s="10" t="str">
        <f>HYPERLINK("https://pbs.twimg.com/profile_images/1053409692960075776/pqztNRjY.jpg","View")</f>
        <v>View</v>
      </c>
    </row>
    <row r="2005" spans="1:21" ht="71.400000000000006">
      <c r="A2005" s="6">
        <v>43424.801736111112</v>
      </c>
      <c r="B2005" s="7" t="str">
        <f>HYPERLINK("https://twitter.com/Kannia8","@Kannia8")</f>
        <v>@Kannia8</v>
      </c>
      <c r="C2005" s="8" t="s">
        <v>7361</v>
      </c>
      <c r="D2005" s="9" t="s">
        <v>7362</v>
      </c>
      <c r="E2005" s="10" t="str">
        <f>HYPERLINK("https://twitter.com/Kannia8/status/1064945093210198016","1064945093210198016")</f>
        <v>1064945093210198016</v>
      </c>
      <c r="F2005" s="16" t="s">
        <v>7363</v>
      </c>
      <c r="G2005" s="12"/>
      <c r="H2005" s="12"/>
      <c r="I2005" s="13">
        <v>0</v>
      </c>
      <c r="J2005" s="13">
        <v>0</v>
      </c>
      <c r="K2005" s="14" t="str">
        <f>HYPERLINK("http://twitter.com/download/android","Twitter for Android")</f>
        <v>Twitter for Android</v>
      </c>
      <c r="L2005" s="13">
        <v>393</v>
      </c>
      <c r="M2005" s="13">
        <v>353</v>
      </c>
      <c r="N2005" s="13">
        <v>0</v>
      </c>
      <c r="O2005" s="15"/>
      <c r="P2005" s="6">
        <v>43035.029143518521</v>
      </c>
      <c r="Q2005" s="12"/>
      <c r="R2005" s="19"/>
      <c r="S2005" s="12"/>
      <c r="T2005" s="12"/>
      <c r="U2005" s="10" t="str">
        <f>HYPERLINK("https://pbs.twimg.com/profile_images/1025038196340666368/E1Z_4SGO.jpg","View")</f>
        <v>View</v>
      </c>
    </row>
    <row r="2006" spans="1:21" ht="112.2">
      <c r="A2006" s="6">
        <v>43424.801041666666</v>
      </c>
      <c r="B2006" s="7" t="str">
        <f>HYPERLINK("https://twitter.com/BoquiEnfurecido","@BoquiEnfurecido")</f>
        <v>@BoquiEnfurecido</v>
      </c>
      <c r="C2006" s="8" t="s">
        <v>4933</v>
      </c>
      <c r="D2006" s="9" t="s">
        <v>4934</v>
      </c>
      <c r="E2006" s="10" t="str">
        <f>HYPERLINK("https://twitter.com/BoquiEnfurecido/status/1064944840159490050","1064944840159490050")</f>
        <v>1064944840159490050</v>
      </c>
      <c r="F2006" s="11" t="s">
        <v>4935</v>
      </c>
      <c r="G2006" s="11" t="s">
        <v>4936</v>
      </c>
      <c r="H2006" s="12"/>
      <c r="I2006" s="13">
        <v>11</v>
      </c>
      <c r="J2006" s="13">
        <v>6</v>
      </c>
      <c r="K2006" s="14" t="str">
        <f>HYPERLINK("http://twitter.com/download/iphone","Twitter for iPhone")</f>
        <v>Twitter for iPhone</v>
      </c>
      <c r="L2006" s="13">
        <v>61</v>
      </c>
      <c r="M2006" s="13">
        <v>163</v>
      </c>
      <c r="N2006" s="13">
        <v>0</v>
      </c>
      <c r="O2006" s="15"/>
      <c r="P2006" s="6">
        <v>43424.763761574075</v>
      </c>
      <c r="Q2006" s="12"/>
      <c r="R2006" s="17" t="s">
        <v>4937</v>
      </c>
      <c r="S2006" s="12"/>
      <c r="T2006" s="12"/>
      <c r="U2006" s="10" t="str">
        <f>HYPERLINK("https://pbs.twimg.com/profile_images/1064932523246055424/4bIQJObB.jpg","View")</f>
        <v>View</v>
      </c>
    </row>
    <row r="2007" spans="1:21" ht="30.6">
      <c r="A2007" s="6">
        <v>43424.800115740742</v>
      </c>
      <c r="B2007" s="7" t="str">
        <f>HYPERLINK("https://twitter.com/Kevinglez96","@Kevinglez96")</f>
        <v>@Kevinglez96</v>
      </c>
      <c r="C2007" s="8" t="s">
        <v>7364</v>
      </c>
      <c r="D2007" s="9" t="s">
        <v>7365</v>
      </c>
      <c r="E2007" s="10" t="str">
        <f>HYPERLINK("https://twitter.com/Kevinglez96/status/1064944506942996482","1064944506942996482")</f>
        <v>1064944506942996482</v>
      </c>
      <c r="F2007" s="12"/>
      <c r="G2007" s="12"/>
      <c r="H2007" s="12"/>
      <c r="I2007" s="13">
        <v>1</v>
      </c>
      <c r="J2007" s="13">
        <v>8</v>
      </c>
      <c r="K2007" s="14" t="str">
        <f>HYPERLINK("http://twitter.com/download/android","Twitter for Android")</f>
        <v>Twitter for Android</v>
      </c>
      <c r="L2007" s="13">
        <v>1039</v>
      </c>
      <c r="M2007" s="13">
        <v>297</v>
      </c>
      <c r="N2007" s="13">
        <v>2</v>
      </c>
      <c r="O2007" s="15"/>
      <c r="P2007" s="6">
        <v>41383.684236111112</v>
      </c>
      <c r="Q2007" s="16" t="s">
        <v>4170</v>
      </c>
      <c r="R2007" s="17" t="s">
        <v>7366</v>
      </c>
      <c r="S2007" s="12"/>
      <c r="T2007" s="12"/>
      <c r="U2007" s="10" t="str">
        <f>HYPERLINK("https://pbs.twimg.com/profile_images/1052533506776211457/AzlaJSU1.jpg","View")</f>
        <v>View</v>
      </c>
    </row>
    <row r="2008" spans="1:21" ht="51">
      <c r="A2008" s="6">
        <v>43424.797164351854</v>
      </c>
      <c r="B2008" s="7" t="str">
        <f>HYPERLINK("https://twitter.com/Albert_Rivera","@Albert_Rivera")</f>
        <v>@Albert_Rivera</v>
      </c>
      <c r="C2008" s="8" t="s">
        <v>389</v>
      </c>
      <c r="D2008" s="9" t="s">
        <v>7367</v>
      </c>
      <c r="E2008" s="10" t="str">
        <f>HYPERLINK("https://twitter.com/Albert_Rivera/status/1064943434115497984","1064943434115497984")</f>
        <v>1064943434115497984</v>
      </c>
      <c r="F2008" s="12"/>
      <c r="G2008" s="11" t="s">
        <v>4881</v>
      </c>
      <c r="H2008" s="12"/>
      <c r="I2008" s="13">
        <v>1100</v>
      </c>
      <c r="J2008" s="13">
        <v>1979</v>
      </c>
      <c r="K2008" s="14" t="str">
        <f>HYPERLINK("http://twitter.com/download/iphone","Twitter for iPhone")</f>
        <v>Twitter for iPhone</v>
      </c>
      <c r="L2008" s="13">
        <v>1071530</v>
      </c>
      <c r="M2008" s="13">
        <v>2545</v>
      </c>
      <c r="N2008" s="13">
        <v>5104</v>
      </c>
      <c r="O2008" s="18" t="s">
        <v>36</v>
      </c>
      <c r="P2008" s="6">
        <v>40205.748171296298</v>
      </c>
      <c r="Q2008" s="16" t="s">
        <v>37</v>
      </c>
      <c r="R2008" s="17" t="s">
        <v>393</v>
      </c>
      <c r="S2008" s="11" t="s">
        <v>394</v>
      </c>
      <c r="T2008" s="12"/>
      <c r="U2008" s="10" t="str">
        <f>HYPERLINK("https://pbs.twimg.com/profile_images/1030708936779988993/RncDM4EZ.jpg","View")</f>
        <v>View</v>
      </c>
    </row>
    <row r="2009" spans="1:21" ht="51">
      <c r="A2009" s="6">
        <v>43424.797025462962</v>
      </c>
      <c r="B2009" s="7" t="str">
        <f>HYPERLINK("https://twitter.com/CsRegionMurcia","@CsRegionMurcia")</f>
        <v>@CsRegionMurcia</v>
      </c>
      <c r="C2009" s="8" t="s">
        <v>825</v>
      </c>
      <c r="D2009" s="9" t="s">
        <v>4938</v>
      </c>
      <c r="E2009" s="10" t="str">
        <f>HYPERLINK("https://twitter.com/CsRegionMurcia/status/1064943384576561158","1064943384576561158")</f>
        <v>1064943384576561158</v>
      </c>
      <c r="F2009" s="12"/>
      <c r="G2009" s="11" t="s">
        <v>4940</v>
      </c>
      <c r="H2009" s="12"/>
      <c r="I2009" s="13">
        <v>10</v>
      </c>
      <c r="J2009" s="13">
        <v>9</v>
      </c>
      <c r="K2009" s="14" t="str">
        <f>HYPERLINK("http://twitter.com","Twitter Web Client")</f>
        <v>Twitter Web Client</v>
      </c>
      <c r="L2009" s="13">
        <v>6225</v>
      </c>
      <c r="M2009" s="13">
        <v>1108</v>
      </c>
      <c r="N2009" s="13">
        <v>96</v>
      </c>
      <c r="O2009" s="18" t="s">
        <v>36</v>
      </c>
      <c r="P2009" s="6">
        <v>40745.431666666671</v>
      </c>
      <c r="Q2009" s="16" t="s">
        <v>832</v>
      </c>
      <c r="R2009" s="17" t="s">
        <v>833</v>
      </c>
      <c r="S2009" s="11" t="s">
        <v>473</v>
      </c>
      <c r="T2009" s="12"/>
      <c r="U2009" s="10" t="str">
        <f>HYPERLINK("https://pbs.twimg.com/profile_images/1053559144299614208/SFwaZPxU.jpg","View")</f>
        <v>View</v>
      </c>
    </row>
    <row r="2010" spans="1:21" ht="40.799999999999997">
      <c r="A2010" s="6">
        <v>43424.797013888892</v>
      </c>
      <c r="B2010" s="7" t="str">
        <f>HYPERLINK("https://twitter.com/Um7bjTw","@Um7bjTw")</f>
        <v>@Um7bjTw</v>
      </c>
      <c r="C2010" s="8" t="s">
        <v>7368</v>
      </c>
      <c r="D2010" s="9" t="s">
        <v>7369</v>
      </c>
      <c r="E2010" s="10" t="str">
        <f>HYPERLINK("https://twitter.com/Um7bjTw/status/1064943381359591424","1064943381359591424")</f>
        <v>1064943381359591424</v>
      </c>
      <c r="F2010" s="11" t="s">
        <v>7370</v>
      </c>
      <c r="G2010" s="12"/>
      <c r="H2010" s="12"/>
      <c r="I2010" s="13">
        <v>1</v>
      </c>
      <c r="J2010" s="13">
        <v>0</v>
      </c>
      <c r="K2010" s="14" t="str">
        <f>HYPERLINK("https://www.google.com/","Google")</f>
        <v>Google</v>
      </c>
      <c r="L2010" s="13">
        <v>802</v>
      </c>
      <c r="M2010" s="13">
        <v>441</v>
      </c>
      <c r="N2010" s="13">
        <v>7</v>
      </c>
      <c r="O2010" s="15"/>
      <c r="P2010" s="6">
        <v>42734.61072916667</v>
      </c>
      <c r="Q2010" s="12"/>
      <c r="R2010" s="17" t="s">
        <v>7371</v>
      </c>
      <c r="S2010" s="11" t="s">
        <v>7372</v>
      </c>
      <c r="T2010" s="12"/>
      <c r="U2010" s="10" t="str">
        <f>HYPERLINK("https://pbs.twimg.com/profile_images/1062421967184318464/y4ANpBOM.jpg","View")</f>
        <v>View</v>
      </c>
    </row>
    <row r="2011" spans="1:21" ht="30.6">
      <c r="A2011" s="6">
        <v>43424.796782407408</v>
      </c>
      <c r="B2011" s="7" t="str">
        <f>HYPERLINK("https://twitter.com/CsRegionMurcia","@CsRegionMurcia")</f>
        <v>@CsRegionMurcia</v>
      </c>
      <c r="C2011" s="8" t="s">
        <v>825</v>
      </c>
      <c r="D2011" s="9" t="s">
        <v>4943</v>
      </c>
      <c r="E2011" s="10" t="str">
        <f>HYPERLINK("https://twitter.com/CsRegionMurcia/status/1064943298639536128","1064943298639536128")</f>
        <v>1064943298639536128</v>
      </c>
      <c r="F2011" s="12"/>
      <c r="G2011" s="11" t="s">
        <v>4944</v>
      </c>
      <c r="H2011" s="12"/>
      <c r="I2011" s="13">
        <v>7</v>
      </c>
      <c r="J2011" s="13">
        <v>3</v>
      </c>
      <c r="K2011" s="14" t="str">
        <f>HYPERLINK("http://twitter.com","Twitter Web Client")</f>
        <v>Twitter Web Client</v>
      </c>
      <c r="L2011" s="13">
        <v>6225</v>
      </c>
      <c r="M2011" s="13">
        <v>1108</v>
      </c>
      <c r="N2011" s="13">
        <v>96</v>
      </c>
      <c r="O2011" s="18" t="s">
        <v>36</v>
      </c>
      <c r="P2011" s="6">
        <v>40745.431666666671</v>
      </c>
      <c r="Q2011" s="16" t="s">
        <v>832</v>
      </c>
      <c r="R2011" s="17" t="s">
        <v>833</v>
      </c>
      <c r="S2011" s="11" t="s">
        <v>473</v>
      </c>
      <c r="T2011" s="12"/>
      <c r="U2011" s="10" t="str">
        <f>HYPERLINK("https://pbs.twimg.com/profile_images/1053559144299614208/SFwaZPxU.jpg","View")</f>
        <v>View</v>
      </c>
    </row>
    <row r="2012" spans="1:21" ht="51">
      <c r="A2012" s="6">
        <v>43424.795671296291</v>
      </c>
      <c r="B2012" s="7" t="str">
        <f>HYPERLINK("https://twitter.com/jemayfe","@jemayfe")</f>
        <v>@jemayfe</v>
      </c>
      <c r="C2012" s="8" t="s">
        <v>4945</v>
      </c>
      <c r="D2012" s="9" t="s">
        <v>4946</v>
      </c>
      <c r="E2012" s="10" t="str">
        <f>HYPERLINK("https://twitter.com/jemayfe/status/1064942895927648256","1064942895927648256")</f>
        <v>1064942895927648256</v>
      </c>
      <c r="F2012" s="12"/>
      <c r="G2012" s="11" t="s">
        <v>4947</v>
      </c>
      <c r="H2012" s="12"/>
      <c r="I2012" s="13">
        <v>85</v>
      </c>
      <c r="J2012" s="13">
        <v>151</v>
      </c>
      <c r="K2012" s="14" t="str">
        <f>HYPERLINK("http://twitter.com/download/android","Twitter for Android")</f>
        <v>Twitter for Android</v>
      </c>
      <c r="L2012" s="13">
        <v>4619</v>
      </c>
      <c r="M2012" s="13">
        <v>3785</v>
      </c>
      <c r="N2012" s="13">
        <v>7</v>
      </c>
      <c r="O2012" s="15"/>
      <c r="P2012" s="6">
        <v>42879.652638888889</v>
      </c>
      <c r="Q2012" s="16" t="s">
        <v>2687</v>
      </c>
      <c r="R2012" s="17" t="s">
        <v>4948</v>
      </c>
      <c r="S2012" s="12"/>
      <c r="T2012" s="12"/>
      <c r="U2012" s="10" t="str">
        <f>HYPERLINK("https://pbs.twimg.com/profile_images/1065382812981886978/2EqAo9U5.jpg","View")</f>
        <v>View</v>
      </c>
    </row>
    <row r="2013" spans="1:21" ht="51">
      <c r="A2013" s="6">
        <v>43424.795555555553</v>
      </c>
      <c r="B2013" s="7" t="str">
        <f>HYPERLINK("https://twitter.com/PCamorrista","@PCamorrista")</f>
        <v>@PCamorrista</v>
      </c>
      <c r="C2013" s="8" t="s">
        <v>311</v>
      </c>
      <c r="D2013" s="9" t="s">
        <v>4832</v>
      </c>
      <c r="E2013" s="10" t="str">
        <f>HYPERLINK("https://twitter.com/PCamorrista/status/1064942852789157888","1064942852789157888")</f>
        <v>1064942852789157888</v>
      </c>
      <c r="F2013" s="11" t="s">
        <v>4764</v>
      </c>
      <c r="G2013" s="12"/>
      <c r="H2013" s="12"/>
      <c r="I2013" s="13">
        <v>14</v>
      </c>
      <c r="J2013" s="13">
        <v>13</v>
      </c>
      <c r="K2013" s="14" t="str">
        <f>HYPERLINK("http://twitter.com/download/iphone","Twitter for iPhone")</f>
        <v>Twitter for iPhone</v>
      </c>
      <c r="L2013" s="13">
        <v>1953</v>
      </c>
      <c r="M2013" s="13">
        <v>1977</v>
      </c>
      <c r="N2013" s="13">
        <v>10</v>
      </c>
      <c r="O2013" s="15"/>
      <c r="P2013" s="6">
        <v>43114.384884259256</v>
      </c>
      <c r="Q2013" s="16" t="s">
        <v>37</v>
      </c>
      <c r="R2013" s="17" t="s">
        <v>314</v>
      </c>
      <c r="S2013" s="11" t="s">
        <v>315</v>
      </c>
      <c r="T2013" s="12"/>
      <c r="U2013" s="10" t="str">
        <f>HYPERLINK("https://pbs.twimg.com/profile_images/952459031083397120/u6DBThkF.jpg","View")</f>
        <v>View</v>
      </c>
    </row>
    <row r="2014" spans="1:21" ht="40.799999999999997">
      <c r="A2014" s="6">
        <v>43424.795381944445</v>
      </c>
      <c r="B2014" s="7" t="str">
        <f>HYPERLINK("https://twitter.com/migupelo2","@migupelo2")</f>
        <v>@migupelo2</v>
      </c>
      <c r="C2014" s="8" t="s">
        <v>29</v>
      </c>
      <c r="D2014" s="9" t="s">
        <v>4953</v>
      </c>
      <c r="E2014" s="10" t="str">
        <f>HYPERLINK("https://twitter.com/migupelo2/status/1064942790449250306","1064942790449250306")</f>
        <v>1064942790449250306</v>
      </c>
      <c r="F2014" s="11" t="s">
        <v>4954</v>
      </c>
      <c r="G2014" s="12"/>
      <c r="H2014" s="12"/>
      <c r="I2014" s="13">
        <v>0</v>
      </c>
      <c r="J2014" s="13">
        <v>0</v>
      </c>
      <c r="K2014" s="14" t="str">
        <f>HYPERLINK("http://twitter.com","Twitter Web Client")</f>
        <v>Twitter Web Client</v>
      </c>
      <c r="L2014" s="13">
        <v>264</v>
      </c>
      <c r="M2014" s="13">
        <v>760</v>
      </c>
      <c r="N2014" s="13">
        <v>18</v>
      </c>
      <c r="O2014" s="15"/>
      <c r="P2014" s="6">
        <v>40477.868043981478</v>
      </c>
      <c r="Q2014" s="12"/>
      <c r="R2014" s="17" t="s">
        <v>32</v>
      </c>
      <c r="S2014" s="12"/>
      <c r="T2014" s="12"/>
      <c r="U2014" s="10" t="str">
        <f>HYPERLINK("https://pbs.twimg.com/profile_images/2906316440/4ed1570f50fd6f70f1b28d458997dd81.jpeg","View")</f>
        <v>View</v>
      </c>
    </row>
    <row r="2015" spans="1:21" ht="30.6">
      <c r="A2015" s="6">
        <v>43424.795324074075</v>
      </c>
      <c r="B2015" s="7" t="str">
        <f>HYPERLINK("https://twitter.com/CsRaquelGutierr","@CsRaquelGutierr")</f>
        <v>@CsRaquelGutierr</v>
      </c>
      <c r="C2015" s="8" t="s">
        <v>4959</v>
      </c>
      <c r="D2015" s="9" t="s">
        <v>4960</v>
      </c>
      <c r="E2015" s="10" t="str">
        <f>HYPERLINK("https://twitter.com/CsRaquelGutierr/status/1064942770643759110","1064942770643759110")</f>
        <v>1064942770643759110</v>
      </c>
      <c r="F2015" s="12"/>
      <c r="G2015" s="12"/>
      <c r="H2015" s="12"/>
      <c r="I2015" s="13">
        <v>0</v>
      </c>
      <c r="J2015" s="13">
        <v>0</v>
      </c>
      <c r="K2015" s="14" t="str">
        <f t="shared" ref="K2015:K2016" si="422">HYPERLINK("http://twitter.com/download/android","Twitter for Android")</f>
        <v>Twitter for Android</v>
      </c>
      <c r="L2015" s="13">
        <v>805</v>
      </c>
      <c r="M2015" s="13">
        <v>2437</v>
      </c>
      <c r="N2015" s="13">
        <v>9</v>
      </c>
      <c r="O2015" s="15"/>
      <c r="P2015" s="6">
        <v>41225.887916666667</v>
      </c>
      <c r="Q2015" s="16" t="s">
        <v>4963</v>
      </c>
      <c r="R2015" s="17" t="s">
        <v>4964</v>
      </c>
      <c r="S2015" s="12"/>
      <c r="T2015" s="12"/>
      <c r="U2015" s="10" t="str">
        <f>HYPERLINK("https://pbs.twimg.com/profile_images/1053591104845701121/FiE9zLs7.jpg","View")</f>
        <v>View</v>
      </c>
    </row>
    <row r="2016" spans="1:21" ht="30.6">
      <c r="A2016" s="6">
        <v>43424.794571759259</v>
      </c>
      <c r="B2016" s="7" t="str">
        <f>HYPERLINK("https://twitter.com/Josegonsan","@Josegonsan")</f>
        <v>@Josegonsan</v>
      </c>
      <c r="C2016" s="8" t="s">
        <v>112</v>
      </c>
      <c r="D2016" s="9" t="s">
        <v>7373</v>
      </c>
      <c r="E2016" s="10" t="str">
        <f>HYPERLINK("https://twitter.com/Josegonsan/status/1064942495484788736","1064942495484788736")</f>
        <v>1064942495484788736</v>
      </c>
      <c r="F2016" s="12"/>
      <c r="G2016" s="12"/>
      <c r="H2016" s="12"/>
      <c r="I2016" s="13">
        <v>0</v>
      </c>
      <c r="J2016" s="13">
        <v>0</v>
      </c>
      <c r="K2016" s="14" t="str">
        <f t="shared" si="422"/>
        <v>Twitter for Android</v>
      </c>
      <c r="L2016" s="13">
        <v>23</v>
      </c>
      <c r="M2016" s="13">
        <v>117</v>
      </c>
      <c r="N2016" s="13">
        <v>0</v>
      </c>
      <c r="O2016" s="15"/>
      <c r="P2016" s="6">
        <v>42171.603854166664</v>
      </c>
      <c r="Q2016" s="16" t="s">
        <v>116</v>
      </c>
      <c r="R2016" s="19"/>
      <c r="S2016" s="12"/>
      <c r="T2016" s="12"/>
      <c r="U2016" s="10" t="str">
        <f>HYPERLINK("https://pbs.twimg.com/profile_images/613410644201721857/9uDgGBog.jpg","View")</f>
        <v>View</v>
      </c>
    </row>
    <row r="2017" spans="1:21" ht="30.6">
      <c r="A2017" s="6">
        <v>43424.794421296298</v>
      </c>
      <c r="B2017" s="7" t="str">
        <f>HYPERLINK("https://twitter.com/pheloponeso","@pheloponeso")</f>
        <v>@pheloponeso</v>
      </c>
      <c r="C2017" s="8" t="s">
        <v>2695</v>
      </c>
      <c r="D2017" s="9" t="s">
        <v>4968</v>
      </c>
      <c r="E2017" s="10" t="str">
        <f>HYPERLINK("https://twitter.com/pheloponeso/status/1064942441092894720","1064942441092894720")</f>
        <v>1064942441092894720</v>
      </c>
      <c r="F2017" s="12"/>
      <c r="G2017" s="12"/>
      <c r="H2017" s="12"/>
      <c r="I2017" s="13">
        <v>0</v>
      </c>
      <c r="J2017" s="13">
        <v>0</v>
      </c>
      <c r="K2017" s="14" t="str">
        <f>HYPERLINK("http://twitter.com","Twitter Web Client")</f>
        <v>Twitter Web Client</v>
      </c>
      <c r="L2017" s="13">
        <v>3126</v>
      </c>
      <c r="M2017" s="13">
        <v>4423</v>
      </c>
      <c r="N2017" s="13">
        <v>23</v>
      </c>
      <c r="O2017" s="15"/>
      <c r="P2017" s="6">
        <v>40265.508645833332</v>
      </c>
      <c r="Q2017" s="16" t="s">
        <v>662</v>
      </c>
      <c r="R2017" s="17" t="s">
        <v>2697</v>
      </c>
      <c r="S2017" s="12"/>
      <c r="T2017" s="12"/>
      <c r="U2017" s="10" t="str">
        <f>HYPERLINK("https://pbs.twimg.com/profile_images/820967403135913984/bVnAo7Sc.jpg","View")</f>
        <v>View</v>
      </c>
    </row>
    <row r="2018" spans="1:21" ht="30.6">
      <c r="A2018" s="6">
        <v>43424.794050925921</v>
      </c>
      <c r="B2018" s="7" t="str">
        <f>HYPERLINK("https://twitter.com/CarlosLopezCamp","@CarlosLopezCamp")</f>
        <v>@CarlosLopezCamp</v>
      </c>
      <c r="C2018" s="8" t="s">
        <v>4969</v>
      </c>
      <c r="D2018" s="9" t="s">
        <v>4970</v>
      </c>
      <c r="E2018" s="10" t="str">
        <f>HYPERLINK("https://twitter.com/CarlosLopezCamp/status/1064942308074971139","1064942308074971139")</f>
        <v>1064942308074971139</v>
      </c>
      <c r="F2018" s="12"/>
      <c r="G2018" s="12"/>
      <c r="H2018" s="12"/>
      <c r="I2018" s="13">
        <v>0</v>
      </c>
      <c r="J2018" s="13">
        <v>0</v>
      </c>
      <c r="K2018" s="14" t="str">
        <f t="shared" ref="K2018:K2021" si="423">HYPERLINK("http://twitter.com/download/android","Twitter for Android")</f>
        <v>Twitter for Android</v>
      </c>
      <c r="L2018" s="13">
        <v>439</v>
      </c>
      <c r="M2018" s="13">
        <v>295</v>
      </c>
      <c r="N2018" s="13">
        <v>42</v>
      </c>
      <c r="O2018" s="15"/>
      <c r="P2018" s="6">
        <v>40941.789652777778</v>
      </c>
      <c r="Q2018" s="16" t="s">
        <v>37</v>
      </c>
      <c r="R2018" s="17" t="s">
        <v>4973</v>
      </c>
      <c r="S2018" s="11" t="s">
        <v>4974</v>
      </c>
      <c r="T2018" s="12"/>
      <c r="U2018" s="10" t="str">
        <f>HYPERLINK("https://pbs.twimg.com/profile_images/1033015047537287168/cnntNfsk.jpg","View")</f>
        <v>View</v>
      </c>
    </row>
    <row r="2019" spans="1:21" ht="81.599999999999994">
      <c r="A2019" s="6">
        <v>43424.794016203705</v>
      </c>
      <c r="B2019" s="7" t="str">
        <f>HYPERLINK("https://twitter.com/LauMDominguez","@LauMDominguez")</f>
        <v>@LauMDominguez</v>
      </c>
      <c r="C2019" s="8" t="s">
        <v>4976</v>
      </c>
      <c r="D2019" s="9" t="s">
        <v>4977</v>
      </c>
      <c r="E2019" s="10" t="str">
        <f>HYPERLINK("https://twitter.com/LauMDominguez/status/1064942295320023040","1064942295320023040")</f>
        <v>1064942295320023040</v>
      </c>
      <c r="F2019" s="11" t="s">
        <v>4979</v>
      </c>
      <c r="G2019" s="11" t="s">
        <v>4980</v>
      </c>
      <c r="H2019" s="12"/>
      <c r="I2019" s="13">
        <v>0</v>
      </c>
      <c r="J2019" s="13">
        <v>0</v>
      </c>
      <c r="K2019" s="14" t="str">
        <f t="shared" si="423"/>
        <v>Twitter for Android</v>
      </c>
      <c r="L2019" s="13">
        <v>3812</v>
      </c>
      <c r="M2019" s="13">
        <v>657</v>
      </c>
      <c r="N2019" s="13">
        <v>43</v>
      </c>
      <c r="O2019" s="15"/>
      <c r="P2019" s="6">
        <v>41626.382881944446</v>
      </c>
      <c r="Q2019" s="12"/>
      <c r="R2019" s="17" t="s">
        <v>4981</v>
      </c>
      <c r="S2019" s="11" t="s">
        <v>4982</v>
      </c>
      <c r="T2019" s="12"/>
      <c r="U2019" s="10" t="str">
        <f>HYPERLINK("https://pbs.twimg.com/profile_images/1012733068602421248/2e9n9vu4.jpg","View")</f>
        <v>View</v>
      </c>
    </row>
    <row r="2020" spans="1:21" ht="30.6">
      <c r="A2020" s="6">
        <v>43424.793912037036</v>
      </c>
      <c r="B2020" s="7" t="str">
        <f>HYPERLINK("https://twitter.com/NihilistaI","@NihilistaI")</f>
        <v>@NihilistaI</v>
      </c>
      <c r="C2020" s="8" t="s">
        <v>4985</v>
      </c>
      <c r="D2020" s="9" t="s">
        <v>4987</v>
      </c>
      <c r="E2020" s="10" t="str">
        <f>HYPERLINK("https://twitter.com/NihilistaI/status/1064942257906823169","1064942257906823169")</f>
        <v>1064942257906823169</v>
      </c>
      <c r="F2020" s="12"/>
      <c r="G2020" s="12"/>
      <c r="H2020" s="12"/>
      <c r="I2020" s="13">
        <v>0</v>
      </c>
      <c r="J2020" s="13">
        <v>0</v>
      </c>
      <c r="K2020" s="14" t="str">
        <f t="shared" si="423"/>
        <v>Twitter for Android</v>
      </c>
      <c r="L2020" s="13">
        <v>14</v>
      </c>
      <c r="M2020" s="13">
        <v>140</v>
      </c>
      <c r="N2020" s="13">
        <v>0</v>
      </c>
      <c r="O2020" s="15"/>
      <c r="P2020" s="6">
        <v>43424.701608796298</v>
      </c>
      <c r="Q2020" s="12"/>
      <c r="R2020" s="17" t="s">
        <v>4988</v>
      </c>
      <c r="S2020" s="12"/>
      <c r="T2020" s="12"/>
      <c r="U2020" s="10" t="str">
        <f>HYPERLINK("https://pbs.twimg.com/profile_images/1064910833443057664/8d0XL3Ie.jpg","View")</f>
        <v>View</v>
      </c>
    </row>
    <row r="2021" spans="1:21" ht="13.2">
      <c r="A2021" s="6">
        <v>43424.793437500004</v>
      </c>
      <c r="B2021" s="7" t="str">
        <f>HYPERLINK("https://twitter.com/Kyke197","@Kyke197")</f>
        <v>@Kyke197</v>
      </c>
      <c r="C2021" s="8" t="s">
        <v>4994</v>
      </c>
      <c r="D2021" s="9" t="s">
        <v>4995</v>
      </c>
      <c r="E2021" s="10" t="str">
        <f>HYPERLINK("https://twitter.com/Kyke197/status/1064942083490963457","1064942083490963457")</f>
        <v>1064942083490963457</v>
      </c>
      <c r="F2021" s="12"/>
      <c r="G2021" s="12"/>
      <c r="H2021" s="12"/>
      <c r="I2021" s="13">
        <v>0</v>
      </c>
      <c r="J2021" s="13">
        <v>0</v>
      </c>
      <c r="K2021" s="14" t="str">
        <f t="shared" si="423"/>
        <v>Twitter for Android</v>
      </c>
      <c r="L2021" s="13">
        <v>548</v>
      </c>
      <c r="M2021" s="13">
        <v>778</v>
      </c>
      <c r="N2021" s="13">
        <v>4</v>
      </c>
      <c r="O2021" s="15"/>
      <c r="P2021" s="6">
        <v>40956.731817129628</v>
      </c>
      <c r="Q2021" s="16" t="s">
        <v>4999</v>
      </c>
      <c r="R2021" s="17" t="s">
        <v>5000</v>
      </c>
      <c r="S2021" s="12"/>
      <c r="T2021" s="12"/>
      <c r="U2021" s="10" t="str">
        <f>HYPERLINK("https://pbs.twimg.com/profile_images/1047559599933419520/6U0XKYZm.jpg","View")</f>
        <v>View</v>
      </c>
    </row>
    <row r="2022" spans="1:21" ht="30.6">
      <c r="A2022" s="6">
        <v>43424.793379629627</v>
      </c>
      <c r="B2022" s="7" t="str">
        <f>HYPERLINK("https://twitter.com/SeixoDani","@SeixoDani")</f>
        <v>@SeixoDani</v>
      </c>
      <c r="C2022" s="8" t="s">
        <v>1745</v>
      </c>
      <c r="D2022" s="9" t="s">
        <v>5001</v>
      </c>
      <c r="E2022" s="10" t="str">
        <f>HYPERLINK("https://twitter.com/SeixoDani/status/1064942065149186048","1064942065149186048")</f>
        <v>1064942065149186048</v>
      </c>
      <c r="F2022" s="12"/>
      <c r="G2022" s="12"/>
      <c r="H2022" s="12"/>
      <c r="I2022" s="13">
        <v>1</v>
      </c>
      <c r="J2022" s="13">
        <v>12</v>
      </c>
      <c r="K2022" s="14" t="str">
        <f t="shared" ref="K2022:K2023" si="424">HYPERLINK("http://twitter.com","Twitter Web Client")</f>
        <v>Twitter Web Client</v>
      </c>
      <c r="L2022" s="13">
        <v>3455</v>
      </c>
      <c r="M2022" s="13">
        <v>4897</v>
      </c>
      <c r="N2022" s="13">
        <v>90</v>
      </c>
      <c r="O2022" s="15"/>
      <c r="P2022" s="6">
        <v>40696.855532407411</v>
      </c>
      <c r="Q2022" s="16" t="s">
        <v>1749</v>
      </c>
      <c r="R2022" s="17" t="s">
        <v>1750</v>
      </c>
      <c r="S2022" s="11" t="s">
        <v>1751</v>
      </c>
      <c r="T2022" s="12"/>
      <c r="U2022" s="10" t="str">
        <f>HYPERLINK("https://pbs.twimg.com/profile_images/1043878885832757249/Zu1wP5_Y.jpg","View")</f>
        <v>View</v>
      </c>
    </row>
    <row r="2023" spans="1:21" ht="51">
      <c r="A2023" s="6">
        <v>43424.793310185181</v>
      </c>
      <c r="B2023" s="7" t="str">
        <f>HYPERLINK("https://twitter.com/danielortizguer","@danielortizguer")</f>
        <v>@danielortizguer</v>
      </c>
      <c r="C2023" s="8" t="s">
        <v>6599</v>
      </c>
      <c r="D2023" s="9" t="s">
        <v>7374</v>
      </c>
      <c r="E2023" s="10" t="str">
        <f>HYPERLINK("https://twitter.com/danielortizguer/status/1064942040557985797","1064942040557985797")</f>
        <v>1064942040557985797</v>
      </c>
      <c r="F2023" s="12"/>
      <c r="G2023" s="12"/>
      <c r="H2023" s="12"/>
      <c r="I2023" s="13">
        <v>1</v>
      </c>
      <c r="J2023" s="13">
        <v>1</v>
      </c>
      <c r="K2023" s="14" t="str">
        <f t="shared" si="424"/>
        <v>Twitter Web Client</v>
      </c>
      <c r="L2023" s="13">
        <v>3082</v>
      </c>
      <c r="M2023" s="13">
        <v>2326</v>
      </c>
      <c r="N2023" s="13">
        <v>93</v>
      </c>
      <c r="O2023" s="15"/>
      <c r="P2023" s="6">
        <v>40326.8440162037</v>
      </c>
      <c r="Q2023" s="16" t="s">
        <v>37</v>
      </c>
      <c r="R2023" s="17" t="s">
        <v>6601</v>
      </c>
      <c r="S2023" s="12"/>
      <c r="T2023" s="12"/>
      <c r="U2023" s="10" t="str">
        <f>HYPERLINK("https://pbs.twimg.com/profile_images/1062999060838338560/oQNdOi9G.jpg","View")</f>
        <v>View</v>
      </c>
    </row>
    <row r="2024" spans="1:21" ht="51">
      <c r="A2024" s="6">
        <v>43424.79305555555</v>
      </c>
      <c r="B2024" s="7" t="str">
        <f>HYPERLINK("https://twitter.com/bitMomentum","@bitMomentum")</f>
        <v>@bitMomentum</v>
      </c>
      <c r="C2024" s="8" t="s">
        <v>706</v>
      </c>
      <c r="D2024" s="9" t="s">
        <v>5002</v>
      </c>
      <c r="E2024" s="10" t="str">
        <f>HYPERLINK("https://twitter.com/bitMomentum/status/1064941945733226496","1064941945733226496")</f>
        <v>1064941945733226496</v>
      </c>
      <c r="F2024" s="12"/>
      <c r="G2024" s="12"/>
      <c r="H2024" s="12"/>
      <c r="I2024" s="13">
        <v>0</v>
      </c>
      <c r="J2024" s="13">
        <v>0</v>
      </c>
      <c r="K2024" s="14" t="str">
        <f>HYPERLINK("http://www.bitmomentum.com","bitMomentum Bot")</f>
        <v>bitMomentum Bot</v>
      </c>
      <c r="L2024" s="13">
        <v>10132</v>
      </c>
      <c r="M2024" s="13">
        <v>1060</v>
      </c>
      <c r="N2024" s="13">
        <v>262</v>
      </c>
      <c r="O2024" s="15"/>
      <c r="P2024" s="6">
        <v>41608.667511574073</v>
      </c>
      <c r="Q2024" s="12"/>
      <c r="R2024" s="17" t="s">
        <v>708</v>
      </c>
      <c r="S2024" s="11" t="s">
        <v>709</v>
      </c>
      <c r="T2024" s="12"/>
      <c r="U2024" s="10" t="str">
        <f>HYPERLINK("https://pbs.twimg.com/profile_images/378800000862185241/20ij2H3u.png","View")</f>
        <v>View</v>
      </c>
    </row>
    <row r="2025" spans="1:21" ht="20.399999999999999">
      <c r="A2025" s="6">
        <v>43424.792719907404</v>
      </c>
      <c r="B2025" s="7" t="str">
        <f>HYPERLINK("https://twitter.com/TheCormental","@TheCormental")</f>
        <v>@TheCormental</v>
      </c>
      <c r="C2025" s="8" t="s">
        <v>1469</v>
      </c>
      <c r="D2025" s="9" t="s">
        <v>7375</v>
      </c>
      <c r="E2025" s="10" t="str">
        <f>HYPERLINK("https://twitter.com/TheCormental/status/1064941826732425216","1064941826732425216")</f>
        <v>1064941826732425216</v>
      </c>
      <c r="F2025" s="11" t="s">
        <v>6642</v>
      </c>
      <c r="G2025" s="12"/>
      <c r="H2025" s="12"/>
      <c r="I2025" s="13">
        <v>0</v>
      </c>
      <c r="J2025" s="13">
        <v>0</v>
      </c>
      <c r="K2025" s="14" t="str">
        <f>HYPERLINK("https://www.google.com/","Google")</f>
        <v>Google</v>
      </c>
      <c r="L2025" s="13">
        <v>614</v>
      </c>
      <c r="M2025" s="13">
        <v>1180</v>
      </c>
      <c r="N2025" s="13">
        <v>69</v>
      </c>
      <c r="O2025" s="15"/>
      <c r="P2025" s="6">
        <v>41385.54146990741</v>
      </c>
      <c r="Q2025" s="16" t="s">
        <v>1474</v>
      </c>
      <c r="R2025" s="17" t="s">
        <v>1475</v>
      </c>
      <c r="S2025" s="11" t="s">
        <v>1476</v>
      </c>
      <c r="T2025" s="12"/>
      <c r="U2025" s="10" t="str">
        <f>HYPERLINK("https://pbs.twimg.com/profile_images/960971237940965376/j3ZMhhtA.jpg","View")</f>
        <v>View</v>
      </c>
    </row>
    <row r="2026" spans="1:21" ht="20.399999999999999">
      <c r="A2026" s="6">
        <v>43424.79105324074</v>
      </c>
      <c r="B2026" s="7" t="str">
        <f>HYPERLINK("https://twitter.com/CristoFeliz1","@CristoFeliz1")</f>
        <v>@CristoFeliz1</v>
      </c>
      <c r="C2026" s="8" t="s">
        <v>7376</v>
      </c>
      <c r="D2026" s="9" t="s">
        <v>1706</v>
      </c>
      <c r="E2026" s="10" t="str">
        <f>HYPERLINK("https://twitter.com/CristoFeliz1/status/1064941221431279616","1064941221431279616")</f>
        <v>1064941221431279616</v>
      </c>
      <c r="F2026" s="11" t="s">
        <v>7377</v>
      </c>
      <c r="G2026" s="11" t="s">
        <v>7378</v>
      </c>
      <c r="H2026" s="12"/>
      <c r="I2026" s="13">
        <v>0</v>
      </c>
      <c r="J2026" s="13">
        <v>0</v>
      </c>
      <c r="K2026" s="14" t="str">
        <f>HYPERLINK("https://dlvrit.com/","dlvr.it")</f>
        <v>dlvr.it</v>
      </c>
      <c r="L2026" s="13">
        <v>7046</v>
      </c>
      <c r="M2026" s="13">
        <v>7743</v>
      </c>
      <c r="N2026" s="13">
        <v>561</v>
      </c>
      <c r="O2026" s="15"/>
      <c r="P2026" s="6">
        <v>41186.866469907407</v>
      </c>
      <c r="Q2026" s="16" t="s">
        <v>4264</v>
      </c>
      <c r="R2026" s="17" t="s">
        <v>7379</v>
      </c>
      <c r="S2026" s="12"/>
      <c r="T2026" s="12"/>
      <c r="U2026" s="10" t="str">
        <f>HYPERLINK("https://pbs.twimg.com/profile_images/1002564938911703040/1Wvxy6Jm.jpg","View")</f>
        <v>View</v>
      </c>
    </row>
    <row r="2027" spans="1:21" ht="51">
      <c r="A2027" s="6">
        <v>43424.79011574074</v>
      </c>
      <c r="B2027" s="7" t="str">
        <f>HYPERLINK("https://twitter.com/CiudadanosCs","@CiudadanosCs")</f>
        <v>@CiudadanosCs</v>
      </c>
      <c r="C2027" s="8" t="s">
        <v>196</v>
      </c>
      <c r="D2027" s="9" t="s">
        <v>4657</v>
      </c>
      <c r="E2027" s="10" t="str">
        <f>HYPERLINK("https://twitter.com/CiudadanosCs/status/1064940879906000896","1064940879906000896")</f>
        <v>1064940879906000896</v>
      </c>
      <c r="F2027" s="12"/>
      <c r="G2027" s="11" t="s">
        <v>5003</v>
      </c>
      <c r="H2027" s="12"/>
      <c r="I2027" s="13">
        <v>125</v>
      </c>
      <c r="J2027" s="13">
        <v>126</v>
      </c>
      <c r="K2027" s="14" t="str">
        <f>HYPERLINK("https://studio.twitter.com","Media Studio")</f>
        <v>Media Studio</v>
      </c>
      <c r="L2027" s="13">
        <v>486503</v>
      </c>
      <c r="M2027" s="13">
        <v>93653</v>
      </c>
      <c r="N2027" s="13">
        <v>3318</v>
      </c>
      <c r="O2027" s="18" t="s">
        <v>36</v>
      </c>
      <c r="P2027" s="6">
        <v>39828.753460648149</v>
      </c>
      <c r="Q2027" s="16" t="s">
        <v>37</v>
      </c>
      <c r="R2027" s="17" t="s">
        <v>202</v>
      </c>
      <c r="S2027" s="11" t="s">
        <v>203</v>
      </c>
      <c r="T2027" s="12"/>
      <c r="U2027" s="10" t="str">
        <f>HYPERLINK("https://pbs.twimg.com/profile_images/1053554096161075200/1z77_zBZ.jpg","View")</f>
        <v>View</v>
      </c>
    </row>
    <row r="2028" spans="1:21" ht="30.6">
      <c r="A2028" s="6">
        <v>43424.790011574078</v>
      </c>
      <c r="B2028" s="7" t="str">
        <f>HYPERLINK("https://twitter.com/ElHuffPost","@ElHuffPost")</f>
        <v>@ElHuffPost</v>
      </c>
      <c r="C2028" s="8" t="s">
        <v>6203</v>
      </c>
      <c r="D2028" s="9" t="s">
        <v>7344</v>
      </c>
      <c r="E2028" s="10" t="str">
        <f>HYPERLINK("https://twitter.com/ElHuffPost/status/1064940845814681600","1064940845814681600")</f>
        <v>1064940845814681600</v>
      </c>
      <c r="F2028" s="11" t="s">
        <v>1709</v>
      </c>
      <c r="G2028" s="12"/>
      <c r="H2028" s="12"/>
      <c r="I2028" s="13">
        <v>0</v>
      </c>
      <c r="J2028" s="13">
        <v>2</v>
      </c>
      <c r="K2028" s="14" t="str">
        <f>HYPERLINK("https://about.twitter.com/products/tweetdeck","TweetDeck")</f>
        <v>TweetDeck</v>
      </c>
      <c r="L2028" s="13">
        <v>430324</v>
      </c>
      <c r="M2028" s="13">
        <v>1532</v>
      </c>
      <c r="N2028" s="13">
        <v>8188</v>
      </c>
      <c r="O2028" s="18" t="s">
        <v>36</v>
      </c>
      <c r="P2028" s="6">
        <v>40785.027118055557</v>
      </c>
      <c r="Q2028" s="16" t="s">
        <v>440</v>
      </c>
      <c r="R2028" s="17" t="s">
        <v>6205</v>
      </c>
      <c r="S2028" s="11" t="s">
        <v>6206</v>
      </c>
      <c r="T2028" s="12"/>
      <c r="U2028" s="10" t="str">
        <f>HYPERLINK("https://pbs.twimg.com/profile_images/921140803422089217/ETOEUOAx.jpg","View")</f>
        <v>View</v>
      </c>
    </row>
    <row r="2029" spans="1:21" ht="51">
      <c r="A2029" s="6">
        <v>43424.789641203708</v>
      </c>
      <c r="B2029" s="7" t="str">
        <f>HYPERLINK("https://twitter.com/PCamorrista","@PCamorrista")</f>
        <v>@PCamorrista</v>
      </c>
      <c r="C2029" s="8" t="s">
        <v>311</v>
      </c>
      <c r="D2029" s="9" t="s">
        <v>4751</v>
      </c>
      <c r="E2029" s="10" t="str">
        <f>HYPERLINK("https://twitter.com/PCamorrista/status/1064940708832911362","1064940708832911362")</f>
        <v>1064940708832911362</v>
      </c>
      <c r="F2029" s="11" t="s">
        <v>4764</v>
      </c>
      <c r="G2029" s="12"/>
      <c r="H2029" s="12"/>
      <c r="I2029" s="13">
        <v>22</v>
      </c>
      <c r="J2029" s="13">
        <v>21</v>
      </c>
      <c r="K2029" s="14" t="str">
        <f>HYPERLINK("http://twitter.com/download/iphone","Twitter for iPhone")</f>
        <v>Twitter for iPhone</v>
      </c>
      <c r="L2029" s="13">
        <v>1953</v>
      </c>
      <c r="M2029" s="13">
        <v>1977</v>
      </c>
      <c r="N2029" s="13">
        <v>10</v>
      </c>
      <c r="O2029" s="15"/>
      <c r="P2029" s="6">
        <v>43114.384884259256</v>
      </c>
      <c r="Q2029" s="16" t="s">
        <v>37</v>
      </c>
      <c r="R2029" s="17" t="s">
        <v>314</v>
      </c>
      <c r="S2029" s="11" t="s">
        <v>315</v>
      </c>
      <c r="T2029" s="12"/>
      <c r="U2029" s="10" t="str">
        <f>HYPERLINK("https://pbs.twimg.com/profile_images/952459031083397120/u6DBThkF.jpg","View")</f>
        <v>View</v>
      </c>
    </row>
    <row r="2030" spans="1:21" ht="51">
      <c r="A2030" s="6">
        <v>43424.789085648154</v>
      </c>
      <c r="B2030" s="7" t="str">
        <f>HYPERLINK("https://twitter.com/sandraaltalaca","@sandraaltalaca")</f>
        <v>@sandraaltalaca</v>
      </c>
      <c r="C2030" s="8" t="s">
        <v>7380</v>
      </c>
      <c r="D2030" s="9" t="s">
        <v>7381</v>
      </c>
      <c r="E2030" s="10" t="str">
        <f>HYPERLINK("https://twitter.com/sandraaltalaca/status/1064940508114505728","1064940508114505728")</f>
        <v>1064940508114505728</v>
      </c>
      <c r="F2030" s="12"/>
      <c r="G2030" s="12"/>
      <c r="H2030" s="12"/>
      <c r="I2030" s="13">
        <v>12</v>
      </c>
      <c r="J2030" s="13">
        <v>24</v>
      </c>
      <c r="K2030" s="14" t="str">
        <f>HYPERLINK("http://twitter.com/download/android","Twitter for Android")</f>
        <v>Twitter for Android</v>
      </c>
      <c r="L2030" s="13">
        <v>2444</v>
      </c>
      <c r="M2030" s="13">
        <v>2550</v>
      </c>
      <c r="N2030" s="13">
        <v>5</v>
      </c>
      <c r="O2030" s="15"/>
      <c r="P2030" s="6">
        <v>42977.721967592588</v>
      </c>
      <c r="Q2030" s="16" t="s">
        <v>37</v>
      </c>
      <c r="R2030" s="17" t="s">
        <v>7382</v>
      </c>
      <c r="S2030" s="12"/>
      <c r="T2030" s="12"/>
      <c r="U2030" s="10" t="str">
        <f>HYPERLINK("https://pbs.twimg.com/profile_images/1053873966023098369/a4EOvAC1.jpg","View")</f>
        <v>View</v>
      </c>
    </row>
    <row r="2031" spans="1:21" ht="30.6">
      <c r="A2031" s="6">
        <v>43424.788310185184</v>
      </c>
      <c r="B2031" s="7" t="str">
        <f>HYPERLINK("https://twitter.com/Buluc10","@Buluc10")</f>
        <v>@Buluc10</v>
      </c>
      <c r="C2031" s="8" t="s">
        <v>5007</v>
      </c>
      <c r="D2031" s="9" t="s">
        <v>5008</v>
      </c>
      <c r="E2031" s="10" t="str">
        <f>HYPERLINK("https://twitter.com/Buluc10/status/1064940228845232128","1064940228845232128")</f>
        <v>1064940228845232128</v>
      </c>
      <c r="F2031" s="12"/>
      <c r="G2031" s="11" t="s">
        <v>5009</v>
      </c>
      <c r="H2031" s="12"/>
      <c r="I2031" s="13">
        <v>13</v>
      </c>
      <c r="J2031" s="13">
        <v>9</v>
      </c>
      <c r="K2031" s="14" t="str">
        <f>HYPERLINK("https://www.hootsuite.com","Hootsuite Inc.")</f>
        <v>Hootsuite Inc.</v>
      </c>
      <c r="L2031" s="13">
        <v>96</v>
      </c>
      <c r="M2031" s="13">
        <v>156</v>
      </c>
      <c r="N2031" s="13">
        <v>0</v>
      </c>
      <c r="O2031" s="15"/>
      <c r="P2031" s="6">
        <v>43241.532071759255</v>
      </c>
      <c r="Q2031" s="12"/>
      <c r="R2031" s="19"/>
      <c r="S2031" s="12"/>
      <c r="T2031" s="12"/>
      <c r="U2031" s="10" t="str">
        <f>HYPERLINK("https://pbs.twimg.com/profile_images/998517091056500737/LnTi0H8h.jpg","View")</f>
        <v>View</v>
      </c>
    </row>
    <row r="2032" spans="1:21" ht="51">
      <c r="A2032" s="6">
        <v>43424.788252314815</v>
      </c>
      <c r="B2032" s="7" t="str">
        <f t="shared" ref="B2032:B2033" si="425">HYPERLINK("https://twitter.com/CiudadanosCs","@CiudadanosCs")</f>
        <v>@CiudadanosCs</v>
      </c>
      <c r="C2032" s="8" t="s">
        <v>196</v>
      </c>
      <c r="D2032" s="9" t="s">
        <v>4698</v>
      </c>
      <c r="E2032" s="10" t="str">
        <f>HYPERLINK("https://twitter.com/CiudadanosCs/status/1064940205654855681","1064940205654855681")</f>
        <v>1064940205654855681</v>
      </c>
      <c r="F2032" s="12"/>
      <c r="G2032" s="11" t="s">
        <v>4864</v>
      </c>
      <c r="H2032" s="12"/>
      <c r="I2032" s="13">
        <v>370</v>
      </c>
      <c r="J2032" s="13">
        <v>523</v>
      </c>
      <c r="K2032" s="14" t="str">
        <f t="shared" ref="K2032:K2035" si="426">HYPERLINK("https://studio.twitter.com","Media Studio")</f>
        <v>Media Studio</v>
      </c>
      <c r="L2032" s="13">
        <v>486503</v>
      </c>
      <c r="M2032" s="13">
        <v>93653</v>
      </c>
      <c r="N2032" s="13">
        <v>3318</v>
      </c>
      <c r="O2032" s="18" t="s">
        <v>36</v>
      </c>
      <c r="P2032" s="6">
        <v>39828.753460648149</v>
      </c>
      <c r="Q2032" s="16" t="s">
        <v>37</v>
      </c>
      <c r="R2032" s="17" t="s">
        <v>202</v>
      </c>
      <c r="S2032" s="11" t="s">
        <v>203</v>
      </c>
      <c r="T2032" s="12"/>
      <c r="U2032" s="10" t="str">
        <f t="shared" ref="U2032:U2033" si="427">HYPERLINK("https://pbs.twimg.com/profile_images/1053554096161075200/1z77_zBZ.jpg","View")</f>
        <v>View</v>
      </c>
    </row>
    <row r="2033" spans="1:21" ht="51">
      <c r="A2033" s="6">
        <v>43424.787928240738</v>
      </c>
      <c r="B2033" s="7" t="str">
        <f t="shared" si="425"/>
        <v>@CiudadanosCs</v>
      </c>
      <c r="C2033" s="8" t="s">
        <v>196</v>
      </c>
      <c r="D2033" s="9" t="s">
        <v>4751</v>
      </c>
      <c r="E2033" s="10" t="str">
        <f>HYPERLINK("https://twitter.com/CiudadanosCs/status/1064940088742825984","1064940088742825984")</f>
        <v>1064940088742825984</v>
      </c>
      <c r="F2033" s="12"/>
      <c r="G2033" s="11" t="s">
        <v>4155</v>
      </c>
      <c r="H2033" s="12"/>
      <c r="I2033" s="13">
        <v>117</v>
      </c>
      <c r="J2033" s="13">
        <v>122</v>
      </c>
      <c r="K2033" s="14" t="str">
        <f t="shared" si="426"/>
        <v>Media Studio</v>
      </c>
      <c r="L2033" s="13">
        <v>486503</v>
      </c>
      <c r="M2033" s="13">
        <v>93653</v>
      </c>
      <c r="N2033" s="13">
        <v>3318</v>
      </c>
      <c r="O2033" s="18" t="s">
        <v>36</v>
      </c>
      <c r="P2033" s="6">
        <v>39828.753460648149</v>
      </c>
      <c r="Q2033" s="16" t="s">
        <v>37</v>
      </c>
      <c r="R2033" s="17" t="s">
        <v>202</v>
      </c>
      <c r="S2033" s="11" t="s">
        <v>203</v>
      </c>
      <c r="T2033" s="12"/>
      <c r="U2033" s="10" t="str">
        <f t="shared" si="427"/>
        <v>View</v>
      </c>
    </row>
    <row r="2034" spans="1:21" ht="51">
      <c r="A2034" s="6">
        <v>43424.787546296298</v>
      </c>
      <c r="B2034" s="7" t="str">
        <f>HYPERLINK("https://twitter.com/CsCantabria","@CsCantabria")</f>
        <v>@CsCantabria</v>
      </c>
      <c r="C2034" s="8" t="s">
        <v>320</v>
      </c>
      <c r="D2034" s="9" t="s">
        <v>5010</v>
      </c>
      <c r="E2034" s="10" t="str">
        <f>HYPERLINK("https://twitter.com/CsCantabria/status/1064939949076688896","1064939949076688896")</f>
        <v>1064939949076688896</v>
      </c>
      <c r="F2034" s="12"/>
      <c r="G2034" s="11" t="s">
        <v>5011</v>
      </c>
      <c r="H2034" s="12"/>
      <c r="I2034" s="13">
        <v>52</v>
      </c>
      <c r="J2034" s="13">
        <v>49</v>
      </c>
      <c r="K2034" s="14" t="str">
        <f t="shared" si="426"/>
        <v>Media Studio</v>
      </c>
      <c r="L2034" s="13">
        <v>3554</v>
      </c>
      <c r="M2034" s="13">
        <v>328</v>
      </c>
      <c r="N2034" s="13">
        <v>92</v>
      </c>
      <c r="O2034" s="18" t="s">
        <v>36</v>
      </c>
      <c r="P2034" s="6">
        <v>41731.566608796296</v>
      </c>
      <c r="Q2034" s="16" t="s">
        <v>323</v>
      </c>
      <c r="R2034" s="17" t="s">
        <v>324</v>
      </c>
      <c r="S2034" s="11" t="s">
        <v>325</v>
      </c>
      <c r="T2034" s="12"/>
      <c r="U2034" s="10" t="str">
        <f>HYPERLINK("https://pbs.twimg.com/profile_images/1053571729455529984/zfGYdPdw.jpg","View")</f>
        <v>View</v>
      </c>
    </row>
    <row r="2035" spans="1:21" ht="40.799999999999997">
      <c r="A2035" s="6">
        <v>43424.78706018519</v>
      </c>
      <c r="B2035" s="7" t="str">
        <f>HYPERLINK("https://twitter.com/CiudadanosCs","@CiudadanosCs")</f>
        <v>@CiudadanosCs</v>
      </c>
      <c r="C2035" s="8" t="s">
        <v>196</v>
      </c>
      <c r="D2035" s="9" t="s">
        <v>4793</v>
      </c>
      <c r="E2035" s="10" t="str">
        <f>HYPERLINK("https://twitter.com/CiudadanosCs/status/1064939772551053318","1064939772551053318")</f>
        <v>1064939772551053318</v>
      </c>
      <c r="F2035" s="12"/>
      <c r="G2035" s="11" t="s">
        <v>5012</v>
      </c>
      <c r="H2035" s="12"/>
      <c r="I2035" s="13">
        <v>100</v>
      </c>
      <c r="J2035" s="13">
        <v>114</v>
      </c>
      <c r="K2035" s="14" t="str">
        <f t="shared" si="426"/>
        <v>Media Studio</v>
      </c>
      <c r="L2035" s="13">
        <v>486503</v>
      </c>
      <c r="M2035" s="13">
        <v>93653</v>
      </c>
      <c r="N2035" s="13">
        <v>3318</v>
      </c>
      <c r="O2035" s="18" t="s">
        <v>36</v>
      </c>
      <c r="P2035" s="6">
        <v>39828.753460648149</v>
      </c>
      <c r="Q2035" s="16" t="s">
        <v>37</v>
      </c>
      <c r="R2035" s="17" t="s">
        <v>202</v>
      </c>
      <c r="S2035" s="11" t="s">
        <v>203</v>
      </c>
      <c r="T2035" s="12"/>
      <c r="U2035" s="10" t="str">
        <f>HYPERLINK("https://pbs.twimg.com/profile_images/1053554096161075200/1z77_zBZ.jpg","View")</f>
        <v>View</v>
      </c>
    </row>
    <row r="2036" spans="1:21" ht="20.399999999999999">
      <c r="A2036" s="6">
        <v>43424.786793981482</v>
      </c>
      <c r="B2036" s="7" t="str">
        <f>HYPERLINK("https://twitter.com/saram823","@saram823")</f>
        <v>@saram823</v>
      </c>
      <c r="C2036" s="8" t="s">
        <v>5013</v>
      </c>
      <c r="D2036" s="9" t="s">
        <v>5014</v>
      </c>
      <c r="E2036" s="10" t="str">
        <f>HYPERLINK("https://twitter.com/saram823/status/1064939679844315141","1064939679844315141")</f>
        <v>1064939679844315141</v>
      </c>
      <c r="F2036" s="12"/>
      <c r="G2036" s="12"/>
      <c r="H2036" s="12"/>
      <c r="I2036" s="13">
        <v>8</v>
      </c>
      <c r="J2036" s="13">
        <v>5</v>
      </c>
      <c r="K2036" s="14" t="str">
        <f>HYPERLINK("http://twitter.com/download/android","Twitter for Android")</f>
        <v>Twitter for Android</v>
      </c>
      <c r="L2036" s="13">
        <v>300</v>
      </c>
      <c r="M2036" s="13">
        <v>2499</v>
      </c>
      <c r="N2036" s="13">
        <v>0</v>
      </c>
      <c r="O2036" s="15"/>
      <c r="P2036" s="6">
        <v>43414.01085648148</v>
      </c>
      <c r="Q2036" s="12"/>
      <c r="R2036" s="19"/>
      <c r="S2036" s="12"/>
      <c r="T2036" s="12"/>
      <c r="U2036" s="10" t="str">
        <f>HYPERLINK("https://pbs.twimg.com/profile_images/1064298285714804737/T_eVjvOB.jpg","View")</f>
        <v>View</v>
      </c>
    </row>
    <row r="2037" spans="1:21" ht="51">
      <c r="A2037" s="6">
        <v>43424.786678240736</v>
      </c>
      <c r="B2037" s="7" t="str">
        <f t="shared" ref="B2037:B2038" si="428">HYPERLINK("https://twitter.com/CiudadanosCs","@CiudadanosCs")</f>
        <v>@CiudadanosCs</v>
      </c>
      <c r="C2037" s="8" t="s">
        <v>196</v>
      </c>
      <c r="D2037" s="9" t="s">
        <v>4832</v>
      </c>
      <c r="E2037" s="10" t="str">
        <f>HYPERLINK("https://twitter.com/CiudadanosCs/status/1064939635808366598","1064939635808366598")</f>
        <v>1064939635808366598</v>
      </c>
      <c r="F2037" s="12"/>
      <c r="G2037" s="11" t="s">
        <v>2770</v>
      </c>
      <c r="H2037" s="12"/>
      <c r="I2037" s="13">
        <v>230</v>
      </c>
      <c r="J2037" s="13">
        <v>363</v>
      </c>
      <c r="K2037" s="14" t="str">
        <f t="shared" ref="K2037:K2038" si="429">HYPERLINK("https://studio.twitter.com","Media Studio")</f>
        <v>Media Studio</v>
      </c>
      <c r="L2037" s="13">
        <v>486503</v>
      </c>
      <c r="M2037" s="13">
        <v>93653</v>
      </c>
      <c r="N2037" s="13">
        <v>3318</v>
      </c>
      <c r="O2037" s="18" t="s">
        <v>36</v>
      </c>
      <c r="P2037" s="6">
        <v>39828.753460648149</v>
      </c>
      <c r="Q2037" s="16" t="s">
        <v>37</v>
      </c>
      <c r="R2037" s="17" t="s">
        <v>202</v>
      </c>
      <c r="S2037" s="11" t="s">
        <v>203</v>
      </c>
      <c r="T2037" s="12"/>
      <c r="U2037" s="10" t="str">
        <f t="shared" ref="U2037:U2038" si="430">HYPERLINK("https://pbs.twimg.com/profile_images/1053554096161075200/1z77_zBZ.jpg","View")</f>
        <v>View</v>
      </c>
    </row>
    <row r="2038" spans="1:21" ht="51">
      <c r="A2038" s="6">
        <v>43424.786203703705</v>
      </c>
      <c r="B2038" s="7" t="str">
        <f t="shared" si="428"/>
        <v>@CiudadanosCs</v>
      </c>
      <c r="C2038" s="8" t="s">
        <v>196</v>
      </c>
      <c r="D2038" s="9" t="s">
        <v>4875</v>
      </c>
      <c r="E2038" s="10" t="str">
        <f>HYPERLINK("https://twitter.com/CiudadanosCs/status/1064939464273915904","1064939464273915904")</f>
        <v>1064939464273915904</v>
      </c>
      <c r="F2038" s="12"/>
      <c r="G2038" s="11" t="s">
        <v>5022</v>
      </c>
      <c r="H2038" s="12"/>
      <c r="I2038" s="13">
        <v>109</v>
      </c>
      <c r="J2038" s="13">
        <v>128</v>
      </c>
      <c r="K2038" s="14" t="str">
        <f t="shared" si="429"/>
        <v>Media Studio</v>
      </c>
      <c r="L2038" s="13">
        <v>486503</v>
      </c>
      <c r="M2038" s="13">
        <v>93653</v>
      </c>
      <c r="N2038" s="13">
        <v>3318</v>
      </c>
      <c r="O2038" s="18" t="s">
        <v>36</v>
      </c>
      <c r="P2038" s="6">
        <v>39828.753460648149</v>
      </c>
      <c r="Q2038" s="16" t="s">
        <v>37</v>
      </c>
      <c r="R2038" s="17" t="s">
        <v>202</v>
      </c>
      <c r="S2038" s="11" t="s">
        <v>203</v>
      </c>
      <c r="T2038" s="12"/>
      <c r="U2038" s="10" t="str">
        <f t="shared" si="430"/>
        <v>View</v>
      </c>
    </row>
    <row r="2039" spans="1:21" ht="51">
      <c r="A2039" s="6">
        <v>43424.78524305555</v>
      </c>
      <c r="B2039" s="7" t="str">
        <f>HYPERLINK("https://twitter.com/MariaPilarMS","@MariaPilarMS")</f>
        <v>@MariaPilarMS</v>
      </c>
      <c r="C2039" s="8" t="s">
        <v>5023</v>
      </c>
      <c r="D2039" s="9" t="s">
        <v>5024</v>
      </c>
      <c r="E2039" s="10" t="str">
        <f>HYPERLINK("https://twitter.com/MariaPilarMS/status/1064939114041102337","1064939114041102337")</f>
        <v>1064939114041102337</v>
      </c>
      <c r="F2039" s="12"/>
      <c r="G2039" s="11" t="s">
        <v>5025</v>
      </c>
      <c r="H2039" s="12"/>
      <c r="I2039" s="13">
        <v>33</v>
      </c>
      <c r="J2039" s="13">
        <v>25</v>
      </c>
      <c r="K2039" s="14" t="str">
        <f>HYPERLINK("http://twitter.com/download/android","Twitter for Android")</f>
        <v>Twitter for Android</v>
      </c>
      <c r="L2039" s="13">
        <v>879</v>
      </c>
      <c r="M2039" s="13">
        <v>1522</v>
      </c>
      <c r="N2039" s="13">
        <v>9</v>
      </c>
      <c r="O2039" s="15"/>
      <c r="P2039" s="6">
        <v>42888.766238425931</v>
      </c>
      <c r="Q2039" s="12"/>
      <c r="R2039" s="17" t="s">
        <v>5026</v>
      </c>
      <c r="S2039" s="12"/>
      <c r="T2039" s="12"/>
      <c r="U2039" s="10" t="str">
        <f>HYPERLINK("https://pbs.twimg.com/profile_images/870679853430784001/mk7oB-yi.jpg","View")</f>
        <v>View</v>
      </c>
    </row>
    <row r="2040" spans="1:21" ht="40.799999999999997">
      <c r="A2040" s="6">
        <v>43424.784988425927</v>
      </c>
      <c r="B2040" s="7" t="str">
        <f>HYPERLINK("https://twitter.com/CsMalaga","@CsMalaga")</f>
        <v>@CsMalaga</v>
      </c>
      <c r="C2040" s="8" t="s">
        <v>5027</v>
      </c>
      <c r="D2040" s="9" t="s">
        <v>5028</v>
      </c>
      <c r="E2040" s="10" t="str">
        <f>HYPERLINK("https://twitter.com/CsMalaga/status/1064939024165539840","1064939024165539840")</f>
        <v>1064939024165539840</v>
      </c>
      <c r="F2040" s="12"/>
      <c r="G2040" s="11" t="s">
        <v>5029</v>
      </c>
      <c r="H2040" s="12"/>
      <c r="I2040" s="13">
        <v>2</v>
      </c>
      <c r="J2040" s="13">
        <v>2</v>
      </c>
      <c r="K2040" s="14" t="str">
        <f>HYPERLINK("http://twitter.com","Twitter Web Client")</f>
        <v>Twitter Web Client</v>
      </c>
      <c r="L2040" s="13">
        <v>21264</v>
      </c>
      <c r="M2040" s="13">
        <v>16590</v>
      </c>
      <c r="N2040" s="13">
        <v>168</v>
      </c>
      <c r="O2040" s="15"/>
      <c r="P2040" s="6">
        <v>41717.711446759262</v>
      </c>
      <c r="Q2040" s="16" t="s">
        <v>2358</v>
      </c>
      <c r="R2040" s="17" t="s">
        <v>5031</v>
      </c>
      <c r="S2040" s="11" t="s">
        <v>394</v>
      </c>
      <c r="T2040" s="12"/>
      <c r="U2040" s="10" t="str">
        <f>HYPERLINK("https://pbs.twimg.com/profile_images/899561891776925697/oZJ4kanY.jpg","View")</f>
        <v>View</v>
      </c>
    </row>
    <row r="2041" spans="1:21" ht="51">
      <c r="A2041" s="6">
        <v>43424.784861111111</v>
      </c>
      <c r="B2041" s="7" t="str">
        <f>HYPERLINK("https://twitter.com/CiudadanosCs","@CiudadanosCs")</f>
        <v>@CiudadanosCs</v>
      </c>
      <c r="C2041" s="8" t="s">
        <v>196</v>
      </c>
      <c r="D2041" s="9" t="s">
        <v>4931</v>
      </c>
      <c r="E2041" s="10" t="str">
        <f>HYPERLINK("https://twitter.com/CiudadanosCs/status/1064938975905890307","1064938975905890307")</f>
        <v>1064938975905890307</v>
      </c>
      <c r="F2041" s="12"/>
      <c r="G2041" s="11" t="s">
        <v>4980</v>
      </c>
      <c r="H2041" s="12"/>
      <c r="I2041" s="13">
        <v>169</v>
      </c>
      <c r="J2041" s="13">
        <v>225</v>
      </c>
      <c r="K2041" s="14" t="str">
        <f>HYPERLINK("https://studio.twitter.com","Media Studio")</f>
        <v>Media Studio</v>
      </c>
      <c r="L2041" s="13">
        <v>486503</v>
      </c>
      <c r="M2041" s="13">
        <v>93653</v>
      </c>
      <c r="N2041" s="13">
        <v>3318</v>
      </c>
      <c r="O2041" s="18" t="s">
        <v>36</v>
      </c>
      <c r="P2041" s="6">
        <v>39828.753460648149</v>
      </c>
      <c r="Q2041" s="16" t="s">
        <v>37</v>
      </c>
      <c r="R2041" s="17" t="s">
        <v>202</v>
      </c>
      <c r="S2041" s="11" t="s">
        <v>203</v>
      </c>
      <c r="T2041" s="12"/>
      <c r="U2041" s="10" t="str">
        <f>HYPERLINK("https://pbs.twimg.com/profile_images/1053554096161075200/1z77_zBZ.jpg","View")</f>
        <v>View</v>
      </c>
    </row>
    <row r="2042" spans="1:21" ht="40.799999999999997">
      <c r="A2042" s="6">
        <v>43424.784456018519</v>
      </c>
      <c r="B2042" s="7" t="str">
        <f>HYPERLINK("https://twitter.com/PCamorrista","@PCamorrista")</f>
        <v>@PCamorrista</v>
      </c>
      <c r="C2042" s="8" t="s">
        <v>311</v>
      </c>
      <c r="D2042" s="9" t="s">
        <v>5035</v>
      </c>
      <c r="E2042" s="10" t="str">
        <f>HYPERLINK("https://twitter.com/PCamorrista/status/1064938829482733568","1064938829482733568")</f>
        <v>1064938829482733568</v>
      </c>
      <c r="F2042" s="11" t="s">
        <v>4764</v>
      </c>
      <c r="G2042" s="12"/>
      <c r="H2042" s="12"/>
      <c r="I2042" s="13">
        <v>14</v>
      </c>
      <c r="J2042" s="13">
        <v>9</v>
      </c>
      <c r="K2042" s="14" t="str">
        <f>HYPERLINK("http://twitter.com/download/iphone","Twitter for iPhone")</f>
        <v>Twitter for iPhone</v>
      </c>
      <c r="L2042" s="13">
        <v>1953</v>
      </c>
      <c r="M2042" s="13">
        <v>1977</v>
      </c>
      <c r="N2042" s="13">
        <v>10</v>
      </c>
      <c r="O2042" s="15"/>
      <c r="P2042" s="6">
        <v>43114.384884259256</v>
      </c>
      <c r="Q2042" s="16" t="s">
        <v>37</v>
      </c>
      <c r="R2042" s="17" t="s">
        <v>314</v>
      </c>
      <c r="S2042" s="11" t="s">
        <v>315</v>
      </c>
      <c r="T2042" s="12"/>
      <c r="U2042" s="10" t="str">
        <f>HYPERLINK("https://pbs.twimg.com/profile_images/952459031083397120/u6DBThkF.jpg","View")</f>
        <v>View</v>
      </c>
    </row>
    <row r="2043" spans="1:21" ht="30.6">
      <c r="A2043" s="6">
        <v>43424.784201388888</v>
      </c>
      <c r="B2043" s="7" t="str">
        <f>HYPERLINK("https://twitter.com/CiudadanosCs","@CiudadanosCs")</f>
        <v>@CiudadanosCs</v>
      </c>
      <c r="C2043" s="8" t="s">
        <v>196</v>
      </c>
      <c r="D2043" s="9" t="s">
        <v>5036</v>
      </c>
      <c r="E2043" s="10" t="str">
        <f>HYPERLINK("https://twitter.com/CiudadanosCs/status/1064938737535193088","1064938737535193088")</f>
        <v>1064938737535193088</v>
      </c>
      <c r="F2043" s="12"/>
      <c r="G2043" s="11" t="s">
        <v>5037</v>
      </c>
      <c r="H2043" s="12"/>
      <c r="I2043" s="13">
        <v>51</v>
      </c>
      <c r="J2043" s="13">
        <v>43</v>
      </c>
      <c r="K2043" s="14" t="str">
        <f>HYPERLINK("http://twitter.com","Twitter Web Client")</f>
        <v>Twitter Web Client</v>
      </c>
      <c r="L2043" s="13">
        <v>486503</v>
      </c>
      <c r="M2043" s="13">
        <v>93653</v>
      </c>
      <c r="N2043" s="13">
        <v>3318</v>
      </c>
      <c r="O2043" s="18" t="s">
        <v>36</v>
      </c>
      <c r="P2043" s="6">
        <v>39828.753460648149</v>
      </c>
      <c r="Q2043" s="16" t="s">
        <v>37</v>
      </c>
      <c r="R2043" s="17" t="s">
        <v>202</v>
      </c>
      <c r="S2043" s="11" t="s">
        <v>203</v>
      </c>
      <c r="T2043" s="12"/>
      <c r="U2043" s="10" t="str">
        <f>HYPERLINK("https://pbs.twimg.com/profile_images/1053554096161075200/1z77_zBZ.jpg","View")</f>
        <v>View</v>
      </c>
    </row>
    <row r="2044" spans="1:21" ht="91.8">
      <c r="A2044" s="6">
        <v>43424.783773148149</v>
      </c>
      <c r="B2044" s="7" t="str">
        <f>HYPERLINK("https://twitter.com/Paulo8830","@Paulo8830")</f>
        <v>@Paulo8830</v>
      </c>
      <c r="C2044" s="8" t="s">
        <v>5038</v>
      </c>
      <c r="D2044" s="9" t="s">
        <v>5039</v>
      </c>
      <c r="E2044" s="10" t="str">
        <f>HYPERLINK("https://twitter.com/Paulo8830/status/1064938581163220992","1064938581163220992")</f>
        <v>1064938581163220992</v>
      </c>
      <c r="F2044" s="11" t="s">
        <v>5040</v>
      </c>
      <c r="G2044" s="11" t="s">
        <v>5041</v>
      </c>
      <c r="H2044" s="12"/>
      <c r="I2044" s="13">
        <v>0</v>
      </c>
      <c r="J2044" s="13">
        <v>0</v>
      </c>
      <c r="K2044" s="14" t="str">
        <f t="shared" ref="K2044:K2045" si="431">HYPERLINK("http://twitter.com/download/android","Twitter for Android")</f>
        <v>Twitter for Android</v>
      </c>
      <c r="L2044" s="13">
        <v>102</v>
      </c>
      <c r="M2044" s="13">
        <v>314</v>
      </c>
      <c r="N2044" s="13">
        <v>1</v>
      </c>
      <c r="O2044" s="15"/>
      <c r="P2044" s="6">
        <v>41054.171944444446</v>
      </c>
      <c r="Q2044" s="12"/>
      <c r="R2044" s="17" t="s">
        <v>5042</v>
      </c>
      <c r="S2044" s="12"/>
      <c r="T2044" s="12"/>
      <c r="U2044" s="10" t="str">
        <f>HYPERLINK("https://pbs.twimg.com/profile_images/1025712773546881024/yC2C2vg2.jpg","View")</f>
        <v>View</v>
      </c>
    </row>
    <row r="2045" spans="1:21" ht="40.799999999999997">
      <c r="A2045" s="6">
        <v>43424.78297453704</v>
      </c>
      <c r="B2045" s="7" t="str">
        <f>HYPERLINK("https://twitter.com/CsPontevedra","@CsPontevedra")</f>
        <v>@CsPontevedra</v>
      </c>
      <c r="C2045" s="8" t="s">
        <v>5043</v>
      </c>
      <c r="D2045" s="9" t="s">
        <v>5044</v>
      </c>
      <c r="E2045" s="10" t="str">
        <f>HYPERLINK("https://twitter.com/CsPontevedra/status/1064938294256025600","1064938294256025600")</f>
        <v>1064938294256025600</v>
      </c>
      <c r="F2045" s="12"/>
      <c r="G2045" s="11" t="s">
        <v>5045</v>
      </c>
      <c r="H2045" s="12"/>
      <c r="I2045" s="13">
        <v>3</v>
      </c>
      <c r="J2045" s="13">
        <v>5</v>
      </c>
      <c r="K2045" s="14" t="str">
        <f t="shared" si="431"/>
        <v>Twitter for Android</v>
      </c>
      <c r="L2045" s="13">
        <v>3865</v>
      </c>
      <c r="M2045" s="13">
        <v>2885</v>
      </c>
      <c r="N2045" s="13">
        <v>40</v>
      </c>
      <c r="O2045" s="15"/>
      <c r="P2045" s="6">
        <v>41933.492569444446</v>
      </c>
      <c r="Q2045" s="16" t="s">
        <v>1244</v>
      </c>
      <c r="R2045" s="17" t="s">
        <v>5046</v>
      </c>
      <c r="S2045" s="11" t="s">
        <v>5047</v>
      </c>
      <c r="T2045" s="12"/>
      <c r="U2045" s="10" t="str">
        <f>HYPERLINK("https://pbs.twimg.com/profile_images/899376440520695808/QM0bm2YA.jpg","View")</f>
        <v>View</v>
      </c>
    </row>
    <row r="2046" spans="1:21" ht="20.399999999999999">
      <c r="A2046" s="6">
        <v>43424.780995370369</v>
      </c>
      <c r="B2046" s="7" t="str">
        <f>HYPERLINK("https://twitter.com/Naranjita78","@Naranjita78")</f>
        <v>@Naranjita78</v>
      </c>
      <c r="C2046" s="8" t="s">
        <v>5048</v>
      </c>
      <c r="D2046" s="9" t="s">
        <v>5049</v>
      </c>
      <c r="E2046" s="10" t="str">
        <f>HYPERLINK("https://twitter.com/Naranjita78/status/1064937575557804035","1064937575557804035")</f>
        <v>1064937575557804035</v>
      </c>
      <c r="F2046" s="12"/>
      <c r="G2046" s="12"/>
      <c r="H2046" s="12"/>
      <c r="I2046" s="13">
        <v>0</v>
      </c>
      <c r="J2046" s="13">
        <v>0</v>
      </c>
      <c r="K2046" s="14" t="str">
        <f t="shared" ref="K2046:K2047" si="432">HYPERLINK("http://twitter.com/download/iphone","Twitter for iPhone")</f>
        <v>Twitter for iPhone</v>
      </c>
      <c r="L2046" s="13">
        <v>47</v>
      </c>
      <c r="M2046" s="13">
        <v>191</v>
      </c>
      <c r="N2046" s="13">
        <v>0</v>
      </c>
      <c r="O2046" s="15"/>
      <c r="P2046" s="6">
        <v>40979.879363425927</v>
      </c>
      <c r="Q2046" s="12"/>
      <c r="R2046" s="17" t="s">
        <v>5052</v>
      </c>
      <c r="S2046" s="12"/>
      <c r="T2046" s="12"/>
      <c r="U2046" s="10" t="str">
        <f>HYPERLINK("https://pbs.twimg.com/profile_images/792405136530350080/QJ_ZUC5d.jpg","View")</f>
        <v>View</v>
      </c>
    </row>
    <row r="2047" spans="1:21" ht="30.6">
      <c r="A2047" s="6">
        <v>43424.780381944445</v>
      </c>
      <c r="B2047" s="7" t="str">
        <f>HYPERLINK("https://twitter.com/MAQUIAVELA3","@MAQUIAVELA3")</f>
        <v>@MAQUIAVELA3</v>
      </c>
      <c r="C2047" s="8" t="s">
        <v>5053</v>
      </c>
      <c r="D2047" s="9" t="s">
        <v>5054</v>
      </c>
      <c r="E2047" s="10" t="str">
        <f>HYPERLINK("https://twitter.com/MAQUIAVELA3/status/1064937354631266304","1064937354631266304")</f>
        <v>1064937354631266304</v>
      </c>
      <c r="F2047" s="12"/>
      <c r="G2047" s="11" t="s">
        <v>5055</v>
      </c>
      <c r="H2047" s="12"/>
      <c r="I2047" s="13">
        <v>14</v>
      </c>
      <c r="J2047" s="13">
        <v>12</v>
      </c>
      <c r="K2047" s="14" t="str">
        <f t="shared" si="432"/>
        <v>Twitter for iPhone</v>
      </c>
      <c r="L2047" s="13">
        <v>1095</v>
      </c>
      <c r="M2047" s="13">
        <v>1150</v>
      </c>
      <c r="N2047" s="13">
        <v>3</v>
      </c>
      <c r="O2047" s="15"/>
      <c r="P2047" s="6">
        <v>43099.555763888886</v>
      </c>
      <c r="Q2047" s="16" t="s">
        <v>5056</v>
      </c>
      <c r="R2047" s="17" t="s">
        <v>5057</v>
      </c>
      <c r="S2047" s="12"/>
      <c r="T2047" s="12"/>
      <c r="U2047" s="10" t="str">
        <f>HYPERLINK("https://pbs.twimg.com/profile_images/1039864818130399233/-JjB89k5.jpg","View")</f>
        <v>View</v>
      </c>
    </row>
    <row r="2048" spans="1:21" ht="30.6">
      <c r="A2048" s="6">
        <v>43424.778877314813</v>
      </c>
      <c r="B2048" s="7" t="str">
        <f>HYPERLINK("https://twitter.com/ElHuffPost","@ElHuffPost")</f>
        <v>@ElHuffPost</v>
      </c>
      <c r="C2048" s="8" t="s">
        <v>6203</v>
      </c>
      <c r="D2048" s="9" t="s">
        <v>1706</v>
      </c>
      <c r="E2048" s="10" t="str">
        <f>HYPERLINK("https://twitter.com/ElHuffPost/status/1064936807056461825","1064936807056461825")</f>
        <v>1064936807056461825</v>
      </c>
      <c r="F2048" s="11" t="s">
        <v>1709</v>
      </c>
      <c r="G2048" s="12"/>
      <c r="H2048" s="12"/>
      <c r="I2048" s="13">
        <v>0</v>
      </c>
      <c r="J2048" s="13">
        <v>0</v>
      </c>
      <c r="K2048" s="14" t="str">
        <f>HYPERLINK("https://about.twitter.com/products/tweetdeck","TweetDeck")</f>
        <v>TweetDeck</v>
      </c>
      <c r="L2048" s="13">
        <v>430324</v>
      </c>
      <c r="M2048" s="13">
        <v>1532</v>
      </c>
      <c r="N2048" s="13">
        <v>8188</v>
      </c>
      <c r="O2048" s="18" t="s">
        <v>36</v>
      </c>
      <c r="P2048" s="6">
        <v>40785.027118055557</v>
      </c>
      <c r="Q2048" s="16" t="s">
        <v>440</v>
      </c>
      <c r="R2048" s="17" t="s">
        <v>6205</v>
      </c>
      <c r="S2048" s="11" t="s">
        <v>6206</v>
      </c>
      <c r="T2048" s="12"/>
      <c r="U2048" s="10" t="str">
        <f>HYPERLINK("https://pbs.twimg.com/profile_images/921140803422089217/ETOEUOAx.jpg","View")</f>
        <v>View</v>
      </c>
    </row>
    <row r="2049" spans="1:21" ht="61.2">
      <c r="A2049" s="6">
        <v>43424.777916666666</v>
      </c>
      <c r="B2049" s="7" t="str">
        <f>HYPERLINK("https://twitter.com/MargaSolino","@MargaSolino")</f>
        <v>@MargaSolino</v>
      </c>
      <c r="C2049" s="8" t="s">
        <v>4462</v>
      </c>
      <c r="D2049" s="9" t="s">
        <v>5058</v>
      </c>
      <c r="E2049" s="10" t="str">
        <f>HYPERLINK("https://twitter.com/MargaSolino/status/1064936459453517826","1064936459453517826")</f>
        <v>1064936459453517826</v>
      </c>
      <c r="F2049" s="12"/>
      <c r="G2049" s="11" t="s">
        <v>5060</v>
      </c>
      <c r="H2049" s="12"/>
      <c r="I2049" s="13">
        <v>41</v>
      </c>
      <c r="J2049" s="13">
        <v>30</v>
      </c>
      <c r="K2049" s="14" t="str">
        <f>HYPERLINK("http://twitter.com/download/android","Twitter for Android")</f>
        <v>Twitter for Android</v>
      </c>
      <c r="L2049" s="13">
        <v>1595</v>
      </c>
      <c r="M2049" s="13">
        <v>1280</v>
      </c>
      <c r="N2049" s="13">
        <v>6</v>
      </c>
      <c r="O2049" s="15"/>
      <c r="P2049" s="6">
        <v>41394.929375</v>
      </c>
      <c r="Q2049" s="16" t="s">
        <v>4466</v>
      </c>
      <c r="R2049" s="17" t="s">
        <v>4467</v>
      </c>
      <c r="S2049" s="12"/>
      <c r="T2049" s="12"/>
      <c r="U2049" s="10" t="str">
        <f>HYPERLINK("https://pbs.twimg.com/profile_images/1063091353591181312/ItV7iT-b.jpg","View")</f>
        <v>View</v>
      </c>
    </row>
    <row r="2050" spans="1:21" ht="40.799999999999997">
      <c r="A2050" s="6">
        <v>43424.777777777781</v>
      </c>
      <c r="B2050" s="7" t="str">
        <f>HYPERLINK("https://twitter.com/Cs_Asturias","@Cs_Asturias")</f>
        <v>@Cs_Asturias</v>
      </c>
      <c r="C2050" s="8" t="s">
        <v>4697</v>
      </c>
      <c r="D2050" s="9" t="s">
        <v>5062</v>
      </c>
      <c r="E2050" s="10" t="str">
        <f>HYPERLINK("https://twitter.com/Cs_Asturias/status/1064936410854162432","1064936410854162432")</f>
        <v>1064936410854162432</v>
      </c>
      <c r="F2050" s="12"/>
      <c r="G2050" s="11" t="s">
        <v>5063</v>
      </c>
      <c r="H2050" s="12"/>
      <c r="I2050" s="13">
        <v>1</v>
      </c>
      <c r="J2050" s="13">
        <v>4</v>
      </c>
      <c r="K2050" s="14" t="str">
        <f>HYPERLINK("https://studio.twitter.com","Media Studio")</f>
        <v>Media Studio</v>
      </c>
      <c r="L2050" s="13">
        <v>5700</v>
      </c>
      <c r="M2050" s="13">
        <v>1484</v>
      </c>
      <c r="N2050" s="13">
        <v>98</v>
      </c>
      <c r="O2050" s="18" t="s">
        <v>36</v>
      </c>
      <c r="P2050" s="6">
        <v>41704.560023148151</v>
      </c>
      <c r="Q2050" s="12"/>
      <c r="R2050" s="17" t="s">
        <v>4702</v>
      </c>
      <c r="S2050" s="11" t="s">
        <v>473</v>
      </c>
      <c r="T2050" s="12"/>
      <c r="U2050" s="10" t="str">
        <f>HYPERLINK("https://pbs.twimg.com/profile_images/1053409692960075776/pqztNRjY.jpg","View")</f>
        <v>View</v>
      </c>
    </row>
    <row r="2051" spans="1:21" ht="30.6">
      <c r="A2051" s="6">
        <v>43424.775208333333</v>
      </c>
      <c r="B2051" s="7" t="str">
        <f>HYPERLINK("https://twitter.com/Plumaroja20","@Plumaroja20")</f>
        <v>@Plumaroja20</v>
      </c>
      <c r="C2051" s="8" t="s">
        <v>7383</v>
      </c>
      <c r="D2051" s="9" t="s">
        <v>7384</v>
      </c>
      <c r="E2051" s="10" t="str">
        <f>HYPERLINK("https://twitter.com/Plumaroja20/status/1064935480419078144","1064935480419078144")</f>
        <v>1064935480419078144</v>
      </c>
      <c r="F2051" s="12"/>
      <c r="G2051" s="11" t="s">
        <v>7385</v>
      </c>
      <c r="H2051" s="12"/>
      <c r="I2051" s="13">
        <v>6</v>
      </c>
      <c r="J2051" s="13">
        <v>5</v>
      </c>
      <c r="K2051" s="14" t="str">
        <f>HYPERLINK("http://twitter.com","Twitter Web Client")</f>
        <v>Twitter Web Client</v>
      </c>
      <c r="L2051" s="13">
        <v>6888</v>
      </c>
      <c r="M2051" s="13">
        <v>5763</v>
      </c>
      <c r="N2051" s="13">
        <v>59</v>
      </c>
      <c r="O2051" s="15"/>
      <c r="P2051" s="6">
        <v>40727.582638888889</v>
      </c>
      <c r="Q2051" s="16" t="s">
        <v>7386</v>
      </c>
      <c r="R2051" s="17" t="s">
        <v>7387</v>
      </c>
      <c r="S2051" s="11" t="s">
        <v>7388</v>
      </c>
      <c r="T2051" s="12"/>
      <c r="U2051" s="10" t="str">
        <f>HYPERLINK("https://pbs.twimg.com/profile_images/1063871100017348609/DZ1St3JU.jpg","View")</f>
        <v>View</v>
      </c>
    </row>
    <row r="2052" spans="1:21" ht="91.8">
      <c r="A2052" s="6">
        <v>43424.773263888885</v>
      </c>
      <c r="B2052" s="7" t="str">
        <f>HYPERLINK("https://twitter.com/VicenteTen","@VicenteTen")</f>
        <v>@VicenteTen</v>
      </c>
      <c r="C2052" s="8" t="s">
        <v>1486</v>
      </c>
      <c r="D2052" s="9" t="s">
        <v>5064</v>
      </c>
      <c r="E2052" s="10" t="str">
        <f>HYPERLINK("https://twitter.com/VicenteTen/status/1064934774198988800","1064934774198988800")</f>
        <v>1064934774198988800</v>
      </c>
      <c r="F2052" s="11" t="s">
        <v>5065</v>
      </c>
      <c r="G2052" s="11" t="s">
        <v>4554</v>
      </c>
      <c r="H2052" s="12"/>
      <c r="I2052" s="13">
        <v>44</v>
      </c>
      <c r="J2052" s="13">
        <v>54</v>
      </c>
      <c r="K2052" s="14" t="str">
        <f>HYPERLINK("http://twitter.com/download/iphone","Twitter for iPhone")</f>
        <v>Twitter for iPhone</v>
      </c>
      <c r="L2052" s="13">
        <v>4271</v>
      </c>
      <c r="M2052" s="13">
        <v>667</v>
      </c>
      <c r="N2052" s="13">
        <v>84</v>
      </c>
      <c r="O2052" s="18" t="s">
        <v>36</v>
      </c>
      <c r="P2052" s="6">
        <v>42015.502372685187</v>
      </c>
      <c r="Q2052" s="16" t="s">
        <v>263</v>
      </c>
      <c r="R2052" s="17" t="s">
        <v>1491</v>
      </c>
      <c r="S2052" s="11" t="s">
        <v>1492</v>
      </c>
      <c r="T2052" s="12"/>
      <c r="U2052" s="10" t="str">
        <f>HYPERLINK("https://pbs.twimg.com/profile_images/832244632637546496/d-StdO3m.jpg","View")</f>
        <v>View</v>
      </c>
    </row>
    <row r="2053" spans="1:21" ht="20.399999999999999">
      <c r="A2053" s="6">
        <v>43424.771782407406</v>
      </c>
      <c r="B2053" s="7" t="str">
        <f>HYPERLINK("https://twitter.com/CsIcod","@CsIcod")</f>
        <v>@CsIcod</v>
      </c>
      <c r="C2053" s="8" t="s">
        <v>5066</v>
      </c>
      <c r="D2053" s="9" t="s">
        <v>5067</v>
      </c>
      <c r="E2053" s="10" t="str">
        <f>HYPERLINK("https://twitter.com/CsIcod/status/1064934239781703683","1064934239781703683")</f>
        <v>1064934239781703683</v>
      </c>
      <c r="F2053" s="12"/>
      <c r="G2053" s="11" t="s">
        <v>5068</v>
      </c>
      <c r="H2053" s="12"/>
      <c r="I2053" s="13">
        <v>0</v>
      </c>
      <c r="J2053" s="13">
        <v>0</v>
      </c>
      <c r="K2053" s="14" t="str">
        <f>HYPERLINK("https://www.hootsuite.com","Hootsuite Inc.")</f>
        <v>Hootsuite Inc.</v>
      </c>
      <c r="L2053" s="13">
        <v>2192</v>
      </c>
      <c r="M2053" s="13">
        <v>1158</v>
      </c>
      <c r="N2053" s="13">
        <v>23</v>
      </c>
      <c r="O2053" s="15"/>
      <c r="P2053" s="6">
        <v>41872.724687499998</v>
      </c>
      <c r="Q2053" s="16" t="s">
        <v>5069</v>
      </c>
      <c r="R2053" s="17" t="s">
        <v>5070</v>
      </c>
      <c r="S2053" s="11" t="s">
        <v>346</v>
      </c>
      <c r="T2053" s="12"/>
      <c r="U2053" s="10" t="str">
        <f>HYPERLINK("https://pbs.twimg.com/profile_images/899606555481563142/kGblr9kV.jpg","View")</f>
        <v>View</v>
      </c>
    </row>
    <row r="2054" spans="1:21" ht="51">
      <c r="A2054" s="6">
        <v>43424.77171296296</v>
      </c>
      <c r="B2054" s="7" t="str">
        <f>HYPERLINK("https://twitter.com/sergiozorita","@sergiozorita")</f>
        <v>@sergiozorita</v>
      </c>
      <c r="C2054" s="8" t="s">
        <v>5071</v>
      </c>
      <c r="D2054" s="9" t="s">
        <v>5072</v>
      </c>
      <c r="E2054" s="10" t="str">
        <f>HYPERLINK("https://twitter.com/sergiozorita/status/1064934213265313792","1064934213265313792")</f>
        <v>1064934213265313792</v>
      </c>
      <c r="F2054" s="12"/>
      <c r="G2054" s="11" t="s">
        <v>5073</v>
      </c>
      <c r="H2054" s="12"/>
      <c r="I2054" s="13">
        <v>13</v>
      </c>
      <c r="J2054" s="13">
        <v>10</v>
      </c>
      <c r="K2054" s="14" t="str">
        <f>HYPERLINK("http://twitter.com/download/iphone","Twitter for iPhone")</f>
        <v>Twitter for iPhone</v>
      </c>
      <c r="L2054" s="13">
        <v>1857</v>
      </c>
      <c r="M2054" s="13">
        <v>1345</v>
      </c>
      <c r="N2054" s="13">
        <v>31</v>
      </c>
      <c r="O2054" s="15"/>
      <c r="P2054" s="6">
        <v>40114.452847222223</v>
      </c>
      <c r="Q2054" s="16" t="s">
        <v>5076</v>
      </c>
      <c r="R2054" s="17" t="s">
        <v>5077</v>
      </c>
      <c r="S2054" s="11" t="s">
        <v>5078</v>
      </c>
      <c r="T2054" s="12"/>
      <c r="U2054" s="10" t="str">
        <f>HYPERLINK("https://pbs.twimg.com/profile_images/1047198220428955648/SWy0LK8D.jpg","View")</f>
        <v>View</v>
      </c>
    </row>
    <row r="2055" spans="1:21" ht="40.799999999999997">
      <c r="A2055" s="6">
        <v>43424.770833333328</v>
      </c>
      <c r="B2055" s="7" t="str">
        <f>HYPERLINK("https://twitter.com/zapeandola6","@zapeandola6")</f>
        <v>@zapeandola6</v>
      </c>
      <c r="C2055" s="8" t="s">
        <v>7389</v>
      </c>
      <c r="D2055" s="9" t="s">
        <v>7390</v>
      </c>
      <c r="E2055" s="10" t="str">
        <f>HYPERLINK("https://twitter.com/zapeandola6/status/1064933895609692161","1064933895609692161")</f>
        <v>1064933895609692161</v>
      </c>
      <c r="F2055" s="11" t="s">
        <v>7391</v>
      </c>
      <c r="G2055" s="12"/>
      <c r="H2055" s="12"/>
      <c r="I2055" s="13">
        <v>2</v>
      </c>
      <c r="J2055" s="13">
        <v>13</v>
      </c>
      <c r="K2055" s="14" t="str">
        <f>HYPERLINK("http://dogtrack.es","DogTrack_Oficial")</f>
        <v>DogTrack_Oficial</v>
      </c>
      <c r="L2055" s="13">
        <v>429599</v>
      </c>
      <c r="M2055" s="13">
        <v>138</v>
      </c>
      <c r="N2055" s="13">
        <v>531</v>
      </c>
      <c r="O2055" s="18" t="s">
        <v>36</v>
      </c>
      <c r="P2055" s="6">
        <v>41568.654062499998</v>
      </c>
      <c r="Q2055" s="16" t="s">
        <v>37</v>
      </c>
      <c r="R2055" s="17" t="s">
        <v>7392</v>
      </c>
      <c r="S2055" s="11" t="s">
        <v>7393</v>
      </c>
      <c r="T2055" s="12"/>
      <c r="U2055" s="10" t="str">
        <f>HYPERLINK("https://pbs.twimg.com/profile_images/1065982377246302211/78nlvdID.jpg","View")</f>
        <v>View</v>
      </c>
    </row>
    <row r="2056" spans="1:21" ht="40.799999999999997">
      <c r="A2056" s="6">
        <v>43424.770023148143</v>
      </c>
      <c r="B2056" s="7" t="str">
        <f>HYPERLINK("https://twitter.com/CsRegionMurcia","@CsRegionMurcia")</f>
        <v>@CsRegionMurcia</v>
      </c>
      <c r="C2056" s="8" t="s">
        <v>825</v>
      </c>
      <c r="D2056" s="9" t="s">
        <v>5080</v>
      </c>
      <c r="E2056" s="10" t="str">
        <f>HYPERLINK("https://twitter.com/CsRegionMurcia/status/1064933600448208896","1064933600448208896")</f>
        <v>1064933600448208896</v>
      </c>
      <c r="F2056" s="12"/>
      <c r="G2056" s="11" t="s">
        <v>5081</v>
      </c>
      <c r="H2056" s="12"/>
      <c r="I2056" s="13">
        <v>10</v>
      </c>
      <c r="J2056" s="13">
        <v>9</v>
      </c>
      <c r="K2056" s="14" t="str">
        <f t="shared" ref="K2056:K2058" si="433">HYPERLINK("http://twitter.com","Twitter Web Client")</f>
        <v>Twitter Web Client</v>
      </c>
      <c r="L2056" s="13">
        <v>6225</v>
      </c>
      <c r="M2056" s="13">
        <v>1108</v>
      </c>
      <c r="N2056" s="13">
        <v>96</v>
      </c>
      <c r="O2056" s="18" t="s">
        <v>36</v>
      </c>
      <c r="P2056" s="6">
        <v>40745.431666666671</v>
      </c>
      <c r="Q2056" s="16" t="s">
        <v>832</v>
      </c>
      <c r="R2056" s="17" t="s">
        <v>833</v>
      </c>
      <c r="S2056" s="11" t="s">
        <v>473</v>
      </c>
      <c r="T2056" s="12"/>
      <c r="U2056" s="10" t="str">
        <f>HYPERLINK("https://pbs.twimg.com/profile_images/1053559144299614208/SFwaZPxU.jpg","View")</f>
        <v>View</v>
      </c>
    </row>
    <row r="2057" spans="1:21" ht="40.799999999999997">
      <c r="A2057" s="6">
        <v>43424.769467592589</v>
      </c>
      <c r="B2057" s="7" t="str">
        <f t="shared" ref="B2057:B2058" si="434">HYPERLINK("https://twitter.com/bandolerochato","@bandolerochato")</f>
        <v>@bandolerochato</v>
      </c>
      <c r="C2057" s="8" t="s">
        <v>7394</v>
      </c>
      <c r="D2057" s="9" t="s">
        <v>7395</v>
      </c>
      <c r="E2057" s="10" t="str">
        <f>HYPERLINK("https://twitter.com/bandolerochato/status/1064933400920956928","1064933400920956928")</f>
        <v>1064933400920956928</v>
      </c>
      <c r="F2057" s="12"/>
      <c r="G2057" s="12"/>
      <c r="H2057" s="12"/>
      <c r="I2057" s="13">
        <v>1</v>
      </c>
      <c r="J2057" s="13">
        <v>0</v>
      </c>
      <c r="K2057" s="14" t="str">
        <f t="shared" si="433"/>
        <v>Twitter Web Client</v>
      </c>
      <c r="L2057" s="13">
        <v>624</v>
      </c>
      <c r="M2057" s="13">
        <v>1224</v>
      </c>
      <c r="N2057" s="13">
        <v>2</v>
      </c>
      <c r="O2057" s="15"/>
      <c r="P2057" s="6">
        <v>41331.786111111112</v>
      </c>
      <c r="Q2057" s="12"/>
      <c r="R2057" s="19"/>
      <c r="S2057" s="12"/>
      <c r="T2057" s="12"/>
      <c r="U2057" s="10" t="str">
        <f t="shared" ref="U2057:U2058" si="435">HYPERLINK("https://pbs.twimg.com/profile_images/3311607511/c5d8c6c3cc019abcc10619ed8701dc16.jpeg","View")</f>
        <v>View</v>
      </c>
    </row>
    <row r="2058" spans="1:21" ht="13.2">
      <c r="A2058" s="6">
        <v>43424.766226851847</v>
      </c>
      <c r="B2058" s="7" t="str">
        <f t="shared" si="434"/>
        <v>@bandolerochato</v>
      </c>
      <c r="C2058" s="8" t="s">
        <v>7394</v>
      </c>
      <c r="D2058" s="9" t="s">
        <v>7396</v>
      </c>
      <c r="E2058" s="10" t="str">
        <f>HYPERLINK("https://twitter.com/bandolerochato/status/1064932224498376704","1064932224498376704")</f>
        <v>1064932224498376704</v>
      </c>
      <c r="F2058" s="12"/>
      <c r="G2058" s="12"/>
      <c r="H2058" s="12"/>
      <c r="I2058" s="13">
        <v>0</v>
      </c>
      <c r="J2058" s="13">
        <v>0</v>
      </c>
      <c r="K2058" s="14" t="str">
        <f t="shared" si="433"/>
        <v>Twitter Web Client</v>
      </c>
      <c r="L2058" s="13">
        <v>624</v>
      </c>
      <c r="M2058" s="13">
        <v>1224</v>
      </c>
      <c r="N2058" s="13">
        <v>2</v>
      </c>
      <c r="O2058" s="15"/>
      <c r="P2058" s="6">
        <v>41331.786111111112</v>
      </c>
      <c r="Q2058" s="12"/>
      <c r="R2058" s="19"/>
      <c r="S2058" s="12"/>
      <c r="T2058" s="12"/>
      <c r="U2058" s="10" t="str">
        <f t="shared" si="435"/>
        <v>View</v>
      </c>
    </row>
    <row r="2059" spans="1:21" ht="51">
      <c r="A2059" s="6">
        <v>43424.766076388885</v>
      </c>
      <c r="B2059" s="7" t="str">
        <f>HYPERLINK("https://twitter.com/CsCValenciana","@CsCValenciana")</f>
        <v>@CsCValenciana</v>
      </c>
      <c r="C2059" s="8" t="s">
        <v>5082</v>
      </c>
      <c r="D2059" s="9" t="s">
        <v>5083</v>
      </c>
      <c r="E2059" s="10" t="str">
        <f>HYPERLINK("https://twitter.com/CsCValenciana/status/1064932171775905793","1064932171775905793")</f>
        <v>1064932171775905793</v>
      </c>
      <c r="F2059" s="12"/>
      <c r="G2059" s="11" t="s">
        <v>5084</v>
      </c>
      <c r="H2059" s="12"/>
      <c r="I2059" s="13">
        <v>16</v>
      </c>
      <c r="J2059" s="13">
        <v>20</v>
      </c>
      <c r="K2059" s="14" t="str">
        <f>HYPERLINK("http://twitter.com/download/android","Twitter for Android")</f>
        <v>Twitter for Android</v>
      </c>
      <c r="L2059" s="13">
        <v>12307</v>
      </c>
      <c r="M2059" s="13">
        <v>4353</v>
      </c>
      <c r="N2059" s="13">
        <v>154</v>
      </c>
      <c r="O2059" s="18" t="s">
        <v>36</v>
      </c>
      <c r="P2059" s="6">
        <v>41398.006712962961</v>
      </c>
      <c r="Q2059" s="16" t="s">
        <v>5085</v>
      </c>
      <c r="R2059" s="17" t="s">
        <v>5086</v>
      </c>
      <c r="S2059" s="11" t="s">
        <v>5087</v>
      </c>
      <c r="T2059" s="12"/>
      <c r="U2059" s="10" t="str">
        <f>HYPERLINK("https://pbs.twimg.com/profile_images/1053541731621314560/AVBbU4uK.jpg","View")</f>
        <v>View</v>
      </c>
    </row>
    <row r="2060" spans="1:21" ht="30.6">
      <c r="A2060" s="6">
        <v>43424.765277777777</v>
      </c>
      <c r="B2060" s="7" t="str">
        <f>HYPERLINK("https://twitter.com/Albert_Rivera","@Albert_Rivera")</f>
        <v>@Albert_Rivera</v>
      </c>
      <c r="C2060" s="8" t="s">
        <v>389</v>
      </c>
      <c r="D2060" s="9" t="s">
        <v>7397</v>
      </c>
      <c r="E2060" s="10" t="str">
        <f>HYPERLINK("https://twitter.com/Albert_Rivera/status/1064931881949511681","1064931881949511681")</f>
        <v>1064931881949511681</v>
      </c>
      <c r="F2060" s="11" t="s">
        <v>7398</v>
      </c>
      <c r="G2060" s="12"/>
      <c r="H2060" s="12"/>
      <c r="I2060" s="13">
        <v>722</v>
      </c>
      <c r="J2060" s="13">
        <v>1225</v>
      </c>
      <c r="K2060" s="14" t="str">
        <f t="shared" ref="K2060:K2062" si="436">HYPERLINK("http://twitter.com/download/iphone","Twitter for iPhone")</f>
        <v>Twitter for iPhone</v>
      </c>
      <c r="L2060" s="13">
        <v>1071530</v>
      </c>
      <c r="M2060" s="13">
        <v>2545</v>
      </c>
      <c r="N2060" s="13">
        <v>5104</v>
      </c>
      <c r="O2060" s="18" t="s">
        <v>36</v>
      </c>
      <c r="P2060" s="6">
        <v>40205.748171296298</v>
      </c>
      <c r="Q2060" s="16" t="s">
        <v>37</v>
      </c>
      <c r="R2060" s="17" t="s">
        <v>393</v>
      </c>
      <c r="S2060" s="11" t="s">
        <v>394</v>
      </c>
      <c r="T2060" s="12"/>
      <c r="U2060" s="10" t="str">
        <f>HYPERLINK("https://pbs.twimg.com/profile_images/1030708936779988993/RncDM4EZ.jpg","View")</f>
        <v>View</v>
      </c>
    </row>
    <row r="2061" spans="1:21" ht="51">
      <c r="A2061" s="6">
        <v>43424.763449074075</v>
      </c>
      <c r="B2061" s="7" t="str">
        <f>HYPERLINK("https://twitter.com/Ismaelescuincs","@Ismaelescuincs")</f>
        <v>@Ismaelescuincs</v>
      </c>
      <c r="C2061" s="8" t="s">
        <v>4731</v>
      </c>
      <c r="D2061" s="9" t="s">
        <v>5090</v>
      </c>
      <c r="E2061" s="10" t="str">
        <f>HYPERLINK("https://twitter.com/Ismaelescuincs/status/1064931216208605185","1064931216208605185")</f>
        <v>1064931216208605185</v>
      </c>
      <c r="F2061" s="12"/>
      <c r="G2061" s="11" t="s">
        <v>5091</v>
      </c>
      <c r="H2061" s="12"/>
      <c r="I2061" s="13">
        <v>57</v>
      </c>
      <c r="J2061" s="13">
        <v>26</v>
      </c>
      <c r="K2061" s="14" t="str">
        <f t="shared" si="436"/>
        <v>Twitter for iPhone</v>
      </c>
      <c r="L2061" s="13">
        <v>1095</v>
      </c>
      <c r="M2061" s="13">
        <v>1152</v>
      </c>
      <c r="N2061" s="13">
        <v>1</v>
      </c>
      <c r="O2061" s="15"/>
      <c r="P2061" s="6">
        <v>43085.040821759263</v>
      </c>
      <c r="Q2061" s="16" t="s">
        <v>4736</v>
      </c>
      <c r="R2061" s="17" t="s">
        <v>4737</v>
      </c>
      <c r="S2061" s="11" t="s">
        <v>4738</v>
      </c>
      <c r="T2061" s="12"/>
      <c r="U2061" s="10" t="str">
        <f>HYPERLINK("https://pbs.twimg.com/profile_images/1041730517530492928/JLvy_OFv.jpg","View")</f>
        <v>View</v>
      </c>
    </row>
    <row r="2062" spans="1:21" ht="40.799999999999997">
      <c r="A2062" s="6">
        <v>43424.763298611113</v>
      </c>
      <c r="B2062" s="7" t="str">
        <f>HYPERLINK("https://twitter.com/Cs_CLM","@Cs_CLM")</f>
        <v>@Cs_CLM</v>
      </c>
      <c r="C2062" s="8" t="s">
        <v>1235</v>
      </c>
      <c r="D2062" s="9" t="s">
        <v>5094</v>
      </c>
      <c r="E2062" s="10" t="str">
        <f>HYPERLINK("https://twitter.com/Cs_CLM/status/1064931162945200129","1064931162945200129")</f>
        <v>1064931162945200129</v>
      </c>
      <c r="F2062" s="12"/>
      <c r="G2062" s="11" t="s">
        <v>5096</v>
      </c>
      <c r="H2062" s="12"/>
      <c r="I2062" s="13">
        <v>16</v>
      </c>
      <c r="J2062" s="13">
        <v>15</v>
      </c>
      <c r="K2062" s="14" t="str">
        <f t="shared" si="436"/>
        <v>Twitter for iPhone</v>
      </c>
      <c r="L2062" s="13">
        <v>4223</v>
      </c>
      <c r="M2062" s="13">
        <v>628</v>
      </c>
      <c r="N2062" s="13">
        <v>72</v>
      </c>
      <c r="O2062" s="15"/>
      <c r="P2062" s="6">
        <v>42106.981793981482</v>
      </c>
      <c r="Q2062" s="16" t="s">
        <v>171</v>
      </c>
      <c r="R2062" s="17" t="s">
        <v>1238</v>
      </c>
      <c r="S2062" s="11" t="s">
        <v>1239</v>
      </c>
      <c r="T2062" s="12"/>
      <c r="U2062" s="10" t="str">
        <f>HYPERLINK("https://pbs.twimg.com/profile_images/1053405513923416064/Z9jG76VP.jpg","View")</f>
        <v>View</v>
      </c>
    </row>
    <row r="2063" spans="1:21" ht="61.2">
      <c r="A2063" s="6">
        <v>43424.763090277775</v>
      </c>
      <c r="B2063" s="7" t="str">
        <f>HYPERLINK("https://twitter.com/santi544","@santi544")</f>
        <v>@santi544</v>
      </c>
      <c r="C2063" s="8" t="s">
        <v>3312</v>
      </c>
      <c r="D2063" s="9" t="s">
        <v>5097</v>
      </c>
      <c r="E2063" s="10" t="str">
        <f>HYPERLINK("https://twitter.com/santi544/status/1064931089356075008","1064931089356075008")</f>
        <v>1064931089356075008</v>
      </c>
      <c r="F2063" s="12"/>
      <c r="G2063" s="11" t="s">
        <v>5099</v>
      </c>
      <c r="H2063" s="12"/>
      <c r="I2063" s="13">
        <v>26</v>
      </c>
      <c r="J2063" s="13">
        <v>8</v>
      </c>
      <c r="K2063" s="14" t="str">
        <f t="shared" ref="K2063:K2064" si="437">HYPERLINK("http://twitter.com/download/android","Twitter for Android")</f>
        <v>Twitter for Android</v>
      </c>
      <c r="L2063" s="13">
        <v>219</v>
      </c>
      <c r="M2063" s="13">
        <v>231</v>
      </c>
      <c r="N2063" s="13">
        <v>0</v>
      </c>
      <c r="O2063" s="15"/>
      <c r="P2063" s="6">
        <v>40800.071655092594</v>
      </c>
      <c r="Q2063" s="12"/>
      <c r="R2063" s="17" t="s">
        <v>3316</v>
      </c>
      <c r="S2063" s="12"/>
      <c r="T2063" s="12"/>
      <c r="U2063" s="10" t="str">
        <f>HYPERLINK("https://pbs.twimg.com/profile_images/1061143141695283200/zcBGkMoQ.jpg","View")</f>
        <v>View</v>
      </c>
    </row>
    <row r="2064" spans="1:21" ht="40.799999999999997">
      <c r="A2064" s="6">
        <v>43424.763090277775</v>
      </c>
      <c r="B2064" s="7" t="str">
        <f>HYPERLINK("https://twitter.com/josgargon","@josgargon")</f>
        <v>@josgargon</v>
      </c>
      <c r="C2064" s="8" t="s">
        <v>7399</v>
      </c>
      <c r="D2064" s="9" t="s">
        <v>7400</v>
      </c>
      <c r="E2064" s="10" t="str">
        <f>HYPERLINK("https://twitter.com/josgargon/status/1064931086810136576","1064931086810136576")</f>
        <v>1064931086810136576</v>
      </c>
      <c r="F2064" s="11" t="s">
        <v>5034</v>
      </c>
      <c r="G2064" s="12"/>
      <c r="H2064" s="12"/>
      <c r="I2064" s="13">
        <v>0</v>
      </c>
      <c r="J2064" s="13">
        <v>0</v>
      </c>
      <c r="K2064" s="14" t="str">
        <f t="shared" si="437"/>
        <v>Twitter for Android</v>
      </c>
      <c r="L2064" s="13">
        <v>2367</v>
      </c>
      <c r="M2064" s="13">
        <v>2389</v>
      </c>
      <c r="N2064" s="13">
        <v>14</v>
      </c>
      <c r="O2064" s="15"/>
      <c r="P2064" s="6">
        <v>41035.735937500001</v>
      </c>
      <c r="Q2064" s="16" t="s">
        <v>7401</v>
      </c>
      <c r="R2064" s="17" t="s">
        <v>7402</v>
      </c>
      <c r="S2064" s="12"/>
      <c r="T2064" s="12"/>
      <c r="U2064" s="10" t="str">
        <f>HYPERLINK("https://pbs.twimg.com/profile_images/3672975967/d9cb053d1671444e7f7dc723cfec2e34.jpeg","View")</f>
        <v>View</v>
      </c>
    </row>
    <row r="2065" spans="1:21" ht="30.6">
      <c r="A2065" s="6">
        <v>43424.762685185182</v>
      </c>
      <c r="B2065" s="7" t="str">
        <f>HYPERLINK("https://twitter.com/Neo_bar","@Neo_bar")</f>
        <v>@Neo_bar</v>
      </c>
      <c r="C2065" s="8" t="s">
        <v>5100</v>
      </c>
      <c r="D2065" s="9" t="s">
        <v>5101</v>
      </c>
      <c r="E2065" s="10" t="str">
        <f>HYPERLINK("https://twitter.com/Neo_bar/status/1064930942047916032","1064930942047916032")</f>
        <v>1064930942047916032</v>
      </c>
      <c r="F2065" s="12"/>
      <c r="G2065" s="12"/>
      <c r="H2065" s="12"/>
      <c r="I2065" s="13">
        <v>0</v>
      </c>
      <c r="J2065" s="13">
        <v>0</v>
      </c>
      <c r="K2065" s="14" t="str">
        <f>HYPERLINK("http://twitter.com","Twitter Web Client")</f>
        <v>Twitter Web Client</v>
      </c>
      <c r="L2065" s="13">
        <v>1554</v>
      </c>
      <c r="M2065" s="13">
        <v>1685</v>
      </c>
      <c r="N2065" s="13">
        <v>1</v>
      </c>
      <c r="O2065" s="15"/>
      <c r="P2065" s="6">
        <v>40294.881701388891</v>
      </c>
      <c r="Q2065" s="16" t="s">
        <v>597</v>
      </c>
      <c r="R2065" s="17" t="s">
        <v>5104</v>
      </c>
      <c r="S2065" s="12"/>
      <c r="T2065" s="12"/>
      <c r="U2065" s="10" t="str">
        <f>HYPERLINK("https://pbs.twimg.com/profile_images/939224767483207680/I7a7e8QH.jpg","View")</f>
        <v>View</v>
      </c>
    </row>
    <row r="2066" spans="1:21" ht="51">
      <c r="A2066" s="6">
        <v>43424.762175925927</v>
      </c>
      <c r="B2066" s="7" t="str">
        <f>HYPERLINK("https://twitter.com/CsLogrono_","@CsLogrono_")</f>
        <v>@CsLogrono_</v>
      </c>
      <c r="C2066" s="8" t="s">
        <v>5107</v>
      </c>
      <c r="D2066" s="9" t="s">
        <v>5108</v>
      </c>
      <c r="E2066" s="10" t="str">
        <f>HYPERLINK("https://twitter.com/CsLogrono_/status/1064930756420616197","1064930756420616197")</f>
        <v>1064930756420616197</v>
      </c>
      <c r="F2066" s="12"/>
      <c r="G2066" s="11" t="s">
        <v>5111</v>
      </c>
      <c r="H2066" s="12"/>
      <c r="I2066" s="13">
        <v>1</v>
      </c>
      <c r="J2066" s="13">
        <v>1</v>
      </c>
      <c r="K2066" s="14" t="str">
        <f>HYPERLINK("https://about.twitter.com/products/tweetdeck","TweetDeck")</f>
        <v>TweetDeck</v>
      </c>
      <c r="L2066" s="13">
        <v>443</v>
      </c>
      <c r="M2066" s="13">
        <v>175</v>
      </c>
      <c r="N2066" s="13">
        <v>3</v>
      </c>
      <c r="O2066" s="15"/>
      <c r="P2066" s="6">
        <v>42768.640520833331</v>
      </c>
      <c r="Q2066" s="16" t="s">
        <v>5113</v>
      </c>
      <c r="R2066" s="17" t="s">
        <v>5114</v>
      </c>
      <c r="S2066" s="11" t="s">
        <v>1009</v>
      </c>
      <c r="T2066" s="12"/>
      <c r="U2066" s="10" t="str">
        <f>HYPERLINK("https://pbs.twimg.com/profile_images/899551209996136448/TRqp0dbN.jpg","View")</f>
        <v>View</v>
      </c>
    </row>
    <row r="2067" spans="1:21" ht="51">
      <c r="A2067" s="6">
        <v>43424.761030092588</v>
      </c>
      <c r="B2067" s="7" t="str">
        <f>HYPERLINK("https://twitter.com/Cs_Palencia","@Cs_Palencia")</f>
        <v>@Cs_Palencia</v>
      </c>
      <c r="C2067" s="8" t="s">
        <v>5121</v>
      </c>
      <c r="D2067" s="9" t="s">
        <v>5122</v>
      </c>
      <c r="E2067" s="10" t="str">
        <f>HYPERLINK("https://twitter.com/Cs_Palencia/status/1064930341369057280","1064930341369057280")</f>
        <v>1064930341369057280</v>
      </c>
      <c r="F2067" s="12"/>
      <c r="G2067" s="11" t="s">
        <v>5123</v>
      </c>
      <c r="H2067" s="12"/>
      <c r="I2067" s="13">
        <v>1</v>
      </c>
      <c r="J2067" s="13">
        <v>2</v>
      </c>
      <c r="K2067" s="14" t="str">
        <f>HYPERLINK("http://twitter.com/download/android","Twitter for Android")</f>
        <v>Twitter for Android</v>
      </c>
      <c r="L2067" s="13">
        <v>1774</v>
      </c>
      <c r="M2067" s="13">
        <v>343</v>
      </c>
      <c r="N2067" s="13">
        <v>21</v>
      </c>
      <c r="O2067" s="15"/>
      <c r="P2067" s="6">
        <v>42003.573773148149</v>
      </c>
      <c r="Q2067" s="12"/>
      <c r="R2067" s="17" t="s">
        <v>5124</v>
      </c>
      <c r="S2067" s="12"/>
      <c r="T2067" s="12"/>
      <c r="U2067" s="10" t="str">
        <f>HYPERLINK("https://pbs.twimg.com/profile_images/936181323638730752/9l8vY0ka.jpg","View")</f>
        <v>View</v>
      </c>
    </row>
    <row r="2068" spans="1:21" ht="51">
      <c r="A2068" s="6">
        <v>43424.760729166665</v>
      </c>
      <c r="B2068" s="7" t="str">
        <f>HYPERLINK("https://twitter.com/montalvomanu","@montalvomanu")</f>
        <v>@montalvomanu</v>
      </c>
      <c r="C2068" s="8" t="s">
        <v>5128</v>
      </c>
      <c r="D2068" s="9" t="s">
        <v>5129</v>
      </c>
      <c r="E2068" s="10" t="str">
        <f>HYPERLINK("https://twitter.com/montalvomanu/status/1064930230505275392","1064930230505275392")</f>
        <v>1064930230505275392</v>
      </c>
      <c r="F2068" s="12"/>
      <c r="G2068" s="11" t="s">
        <v>5133</v>
      </c>
      <c r="H2068" s="12"/>
      <c r="I2068" s="13">
        <v>22</v>
      </c>
      <c r="J2068" s="13">
        <v>13</v>
      </c>
      <c r="K2068" s="14" t="str">
        <f>HYPERLINK("http://twitter.com/download/iphone","Twitter for iPhone")</f>
        <v>Twitter for iPhone</v>
      </c>
      <c r="L2068" s="13">
        <v>2967</v>
      </c>
      <c r="M2068" s="13">
        <v>3316</v>
      </c>
      <c r="N2068" s="13">
        <v>34</v>
      </c>
      <c r="O2068" s="15"/>
      <c r="P2068" s="6">
        <v>42087.942256944443</v>
      </c>
      <c r="Q2068" s="16" t="s">
        <v>1923</v>
      </c>
      <c r="R2068" s="17" t="s">
        <v>5134</v>
      </c>
      <c r="S2068" s="11" t="s">
        <v>5135</v>
      </c>
      <c r="T2068" s="12"/>
      <c r="U2068" s="10" t="str">
        <f>HYPERLINK("https://pbs.twimg.com/profile_images/836602051832524800/qa-3DxBP.jpg","View")</f>
        <v>View</v>
      </c>
    </row>
    <row r="2069" spans="1:21" ht="40.799999999999997">
      <c r="A2069" s="6">
        <v>43424.760555555556</v>
      </c>
      <c r="B2069" s="7" t="str">
        <f>HYPERLINK("https://twitter.com/CsCValenciana","@CsCValenciana")</f>
        <v>@CsCValenciana</v>
      </c>
      <c r="C2069" s="8" t="s">
        <v>5082</v>
      </c>
      <c r="D2069" s="9" t="s">
        <v>5137</v>
      </c>
      <c r="E2069" s="10" t="str">
        <f>HYPERLINK("https://twitter.com/CsCValenciana/status/1064930171210338309","1064930171210338309")</f>
        <v>1064930171210338309</v>
      </c>
      <c r="F2069" s="12"/>
      <c r="G2069" s="11" t="s">
        <v>5138</v>
      </c>
      <c r="H2069" s="12"/>
      <c r="I2069" s="13">
        <v>11</v>
      </c>
      <c r="J2069" s="13">
        <v>11</v>
      </c>
      <c r="K2069" s="14" t="str">
        <f t="shared" ref="K2069:K2070" si="438">HYPERLINK("http://twitter.com/download/android","Twitter for Android")</f>
        <v>Twitter for Android</v>
      </c>
      <c r="L2069" s="13">
        <v>12307</v>
      </c>
      <c r="M2069" s="13">
        <v>4353</v>
      </c>
      <c r="N2069" s="13">
        <v>154</v>
      </c>
      <c r="O2069" s="18" t="s">
        <v>36</v>
      </c>
      <c r="P2069" s="6">
        <v>41398.006712962961</v>
      </c>
      <c r="Q2069" s="16" t="s">
        <v>5085</v>
      </c>
      <c r="R2069" s="17" t="s">
        <v>5086</v>
      </c>
      <c r="S2069" s="11" t="s">
        <v>5087</v>
      </c>
      <c r="T2069" s="12"/>
      <c r="U2069" s="10" t="str">
        <f>HYPERLINK("https://pbs.twimg.com/profile_images/1053541731621314560/AVBbU4uK.jpg","View")</f>
        <v>View</v>
      </c>
    </row>
    <row r="2070" spans="1:21" ht="30.6">
      <c r="A2070" s="6">
        <v>43424.759548611109</v>
      </c>
      <c r="B2070" s="7" t="str">
        <f>HYPERLINK("https://twitter.com/torrontis","@torrontis")</f>
        <v>@torrontis</v>
      </c>
      <c r="C2070" s="8" t="s">
        <v>5141</v>
      </c>
      <c r="D2070" s="9" t="s">
        <v>5142</v>
      </c>
      <c r="E2070" s="10" t="str">
        <f>HYPERLINK("https://twitter.com/torrontis/status/1064929804745617408","1064929804745617408")</f>
        <v>1064929804745617408</v>
      </c>
      <c r="F2070" s="12"/>
      <c r="G2070" s="11" t="s">
        <v>5145</v>
      </c>
      <c r="H2070" s="12"/>
      <c r="I2070" s="13">
        <v>7</v>
      </c>
      <c r="J2070" s="13">
        <v>5</v>
      </c>
      <c r="K2070" s="14" t="str">
        <f t="shared" si="438"/>
        <v>Twitter for Android</v>
      </c>
      <c r="L2070" s="13">
        <v>964</v>
      </c>
      <c r="M2070" s="13">
        <v>490</v>
      </c>
      <c r="N2070" s="13">
        <v>10</v>
      </c>
      <c r="O2070" s="15"/>
      <c r="P2070" s="6">
        <v>41200.567511574074</v>
      </c>
      <c r="Q2070" s="16" t="s">
        <v>5146</v>
      </c>
      <c r="R2070" s="17" t="s">
        <v>5147</v>
      </c>
      <c r="S2070" s="12"/>
      <c r="T2070" s="12"/>
      <c r="U2070" s="10" t="str">
        <f>HYPERLINK("https://pbs.twimg.com/profile_images/991980646594764802/UWyazb1N.jpg","View")</f>
        <v>View</v>
      </c>
    </row>
    <row r="2071" spans="1:21" ht="51">
      <c r="A2071" s="6">
        <v>43424.759305555555</v>
      </c>
      <c r="B2071" s="7" t="str">
        <f>HYPERLINK("https://twitter.com/JuanPoz9","@JuanPoz9")</f>
        <v>@JuanPoz9</v>
      </c>
      <c r="C2071" s="8" t="s">
        <v>7403</v>
      </c>
      <c r="D2071" s="9" t="s">
        <v>7404</v>
      </c>
      <c r="E2071" s="10" t="str">
        <f>HYPERLINK("https://twitter.com/JuanPoz9/status/1064929716954644480","1064929716954644480")</f>
        <v>1064929716954644480</v>
      </c>
      <c r="F2071" s="12"/>
      <c r="G2071" s="12"/>
      <c r="H2071" s="12"/>
      <c r="I2071" s="13">
        <v>0</v>
      </c>
      <c r="J2071" s="13">
        <v>0</v>
      </c>
      <c r="K2071" s="14" t="str">
        <f t="shared" ref="K2071:K2072" si="439">HYPERLINK("http://twitter.com","Twitter Web Client")</f>
        <v>Twitter Web Client</v>
      </c>
      <c r="L2071" s="13">
        <v>838</v>
      </c>
      <c r="M2071" s="13">
        <v>634</v>
      </c>
      <c r="N2071" s="13">
        <v>13</v>
      </c>
      <c r="O2071" s="15"/>
      <c r="P2071" s="6">
        <v>41894.634363425925</v>
      </c>
      <c r="Q2071" s="12"/>
      <c r="R2071" s="17" t="s">
        <v>7405</v>
      </c>
      <c r="S2071" s="11" t="s">
        <v>7406</v>
      </c>
      <c r="T2071" s="12"/>
      <c r="U2071" s="10" t="str">
        <f>HYPERLINK("https://pbs.twimg.com/profile_images/795538946180648960/FLGzK-DG.jpg","View")</f>
        <v>View</v>
      </c>
    </row>
    <row r="2072" spans="1:21" ht="40.799999999999997">
      <c r="A2072" s="6">
        <v>43424.759305555555</v>
      </c>
      <c r="B2072" s="7" t="str">
        <f>HYPERLINK("https://twitter.com/TroyaBcn","@TroyaBcn")</f>
        <v>@TroyaBcn</v>
      </c>
      <c r="C2072" s="8" t="s">
        <v>5149</v>
      </c>
      <c r="D2072" s="9" t="s">
        <v>5150</v>
      </c>
      <c r="E2072" s="10" t="str">
        <f>HYPERLINK("https://twitter.com/TroyaBcn/status/1064929716174503939","1064929716174503939")</f>
        <v>1064929716174503939</v>
      </c>
      <c r="F2072" s="12"/>
      <c r="G2072" s="11" t="s">
        <v>5151</v>
      </c>
      <c r="H2072" s="12"/>
      <c r="I2072" s="13">
        <v>0</v>
      </c>
      <c r="J2072" s="13">
        <v>1</v>
      </c>
      <c r="K2072" s="14" t="str">
        <f t="shared" si="439"/>
        <v>Twitter Web Client</v>
      </c>
      <c r="L2072" s="13">
        <v>1355</v>
      </c>
      <c r="M2072" s="13">
        <v>3990</v>
      </c>
      <c r="N2072" s="13">
        <v>21</v>
      </c>
      <c r="O2072" s="15"/>
      <c r="P2072" s="6">
        <v>41056.910613425927</v>
      </c>
      <c r="Q2072" s="16" t="s">
        <v>5153</v>
      </c>
      <c r="R2072" s="17" t="s">
        <v>5154</v>
      </c>
      <c r="S2072" s="11" t="s">
        <v>5155</v>
      </c>
      <c r="T2072" s="12"/>
      <c r="U2072" s="10" t="str">
        <f>HYPERLINK("https://pbs.twimg.com/profile_images/1008982739515858944/kkXVAszL.jpg","View")</f>
        <v>View</v>
      </c>
    </row>
    <row r="2073" spans="1:21" ht="20.399999999999999">
      <c r="A2073" s="6">
        <v>43424.758761574078</v>
      </c>
      <c r="B2073" s="7" t="str">
        <f>HYPERLINK("https://twitter.com/rokoten","@rokoten")</f>
        <v>@rokoten</v>
      </c>
      <c r="C2073" s="8" t="s">
        <v>7407</v>
      </c>
      <c r="D2073" s="9" t="s">
        <v>7408</v>
      </c>
      <c r="E2073" s="10" t="str">
        <f>HYPERLINK("https://twitter.com/rokoten/status/1064929519805583364","1064929519805583364")</f>
        <v>1064929519805583364</v>
      </c>
      <c r="F2073" s="11" t="s">
        <v>7409</v>
      </c>
      <c r="G2073" s="12"/>
      <c r="H2073" s="12"/>
      <c r="I2073" s="13">
        <v>0</v>
      </c>
      <c r="J2073" s="13">
        <v>0</v>
      </c>
      <c r="K2073" s="14" t="str">
        <f t="shared" ref="K2073:K2076" si="440">HYPERLINK("http://twitter.com/download/iphone","Twitter for iPhone")</f>
        <v>Twitter for iPhone</v>
      </c>
      <c r="L2073" s="13">
        <v>20862</v>
      </c>
      <c r="M2073" s="13">
        <v>21122</v>
      </c>
      <c r="N2073" s="13">
        <v>33</v>
      </c>
      <c r="O2073" s="15"/>
      <c r="P2073" s="6">
        <v>40803.436655092592</v>
      </c>
      <c r="Q2073" s="12"/>
      <c r="R2073" s="17" t="s">
        <v>7410</v>
      </c>
      <c r="S2073" s="12"/>
      <c r="T2073" s="12"/>
      <c r="U2073" s="10" t="str">
        <f>HYPERLINK("https://pbs.twimg.com/profile_images/595104891590279168/-_3anmkq.jpg","View")</f>
        <v>View</v>
      </c>
    </row>
    <row r="2074" spans="1:21" ht="40.799999999999997">
      <c r="A2074" s="6">
        <v>43424.758425925931</v>
      </c>
      <c r="B2074" s="7" t="str">
        <f>HYPERLINK("https://twitter.com/Cs_CLM","@Cs_CLM")</f>
        <v>@Cs_CLM</v>
      </c>
      <c r="C2074" s="8" t="s">
        <v>1235</v>
      </c>
      <c r="D2074" s="9" t="s">
        <v>5062</v>
      </c>
      <c r="E2074" s="10" t="str">
        <f>HYPERLINK("https://twitter.com/Cs_CLM/status/1064929395624820737","1064929395624820737")</f>
        <v>1064929395624820737</v>
      </c>
      <c r="F2074" s="12"/>
      <c r="G2074" s="11" t="s">
        <v>5161</v>
      </c>
      <c r="H2074" s="12"/>
      <c r="I2074" s="13">
        <v>9</v>
      </c>
      <c r="J2074" s="13">
        <v>5</v>
      </c>
      <c r="K2074" s="14" t="str">
        <f t="shared" si="440"/>
        <v>Twitter for iPhone</v>
      </c>
      <c r="L2074" s="13">
        <v>4223</v>
      </c>
      <c r="M2074" s="13">
        <v>628</v>
      </c>
      <c r="N2074" s="13">
        <v>72</v>
      </c>
      <c r="O2074" s="15"/>
      <c r="P2074" s="6">
        <v>42106.981793981482</v>
      </c>
      <c r="Q2074" s="16" t="s">
        <v>171</v>
      </c>
      <c r="R2074" s="17" t="s">
        <v>1238</v>
      </c>
      <c r="S2074" s="11" t="s">
        <v>1239</v>
      </c>
      <c r="T2074" s="12"/>
      <c r="U2074" s="10" t="str">
        <f>HYPERLINK("https://pbs.twimg.com/profile_images/1053405513923416064/Z9jG76VP.jpg","View")</f>
        <v>View</v>
      </c>
    </row>
    <row r="2075" spans="1:21" ht="20.399999999999999">
      <c r="A2075" s="6">
        <v>43424.757835648154</v>
      </c>
      <c r="B2075" s="7" t="str">
        <f>HYPERLINK("https://twitter.com/SrSpoc","@SrSpoc")</f>
        <v>@SrSpoc</v>
      </c>
      <c r="C2075" s="8" t="s">
        <v>5166</v>
      </c>
      <c r="D2075" s="9" t="s">
        <v>5167</v>
      </c>
      <c r="E2075" s="10" t="str">
        <f>HYPERLINK("https://twitter.com/SrSpoc/status/1064929184827564032","1064929184827564032")</f>
        <v>1064929184827564032</v>
      </c>
      <c r="F2075" s="12"/>
      <c r="G2075" s="11" t="s">
        <v>5168</v>
      </c>
      <c r="H2075" s="12"/>
      <c r="I2075" s="13">
        <v>17</v>
      </c>
      <c r="J2075" s="13">
        <v>37</v>
      </c>
      <c r="K2075" s="14" t="str">
        <f t="shared" si="440"/>
        <v>Twitter for iPhone</v>
      </c>
      <c r="L2075" s="13">
        <v>6041</v>
      </c>
      <c r="M2075" s="13">
        <v>5951</v>
      </c>
      <c r="N2075" s="13">
        <v>15</v>
      </c>
      <c r="O2075" s="15"/>
      <c r="P2075" s="6">
        <v>43073.963923611111</v>
      </c>
      <c r="Q2075" s="16" t="s">
        <v>5169</v>
      </c>
      <c r="R2075" s="17" t="s">
        <v>5170</v>
      </c>
      <c r="S2075" s="12"/>
      <c r="T2075" s="12"/>
      <c r="U2075" s="10" t="str">
        <f>HYPERLINK("https://pbs.twimg.com/profile_images/1033006277222453248/435JiGtc.jpg","View")</f>
        <v>View</v>
      </c>
    </row>
    <row r="2076" spans="1:21" ht="51">
      <c r="A2076" s="6">
        <v>43424.75780092593</v>
      </c>
      <c r="B2076" s="7" t="str">
        <f>HYPERLINK("https://twitter.com/mimaacordoba","@mimaacordoba")</f>
        <v>@mimaacordoba</v>
      </c>
      <c r="C2076" s="8" t="s">
        <v>5174</v>
      </c>
      <c r="D2076" s="9" t="s">
        <v>5175</v>
      </c>
      <c r="E2076" s="10" t="str">
        <f>HYPERLINK("https://twitter.com/mimaacordoba/status/1064929171439304707","1064929171439304707")</f>
        <v>1064929171439304707</v>
      </c>
      <c r="F2076" s="12"/>
      <c r="G2076" s="11" t="s">
        <v>5178</v>
      </c>
      <c r="H2076" s="12"/>
      <c r="I2076" s="13">
        <v>25</v>
      </c>
      <c r="J2076" s="13">
        <v>13</v>
      </c>
      <c r="K2076" s="14" t="str">
        <f t="shared" si="440"/>
        <v>Twitter for iPhone</v>
      </c>
      <c r="L2076" s="13">
        <v>1136</v>
      </c>
      <c r="M2076" s="13">
        <v>1522</v>
      </c>
      <c r="N2076" s="13">
        <v>5</v>
      </c>
      <c r="O2076" s="15"/>
      <c r="P2076" s="6">
        <v>42606.463240740741</v>
      </c>
      <c r="Q2076" s="16" t="s">
        <v>5179</v>
      </c>
      <c r="R2076" s="17" t="s">
        <v>5180</v>
      </c>
      <c r="S2076" s="11" t="s">
        <v>5181</v>
      </c>
      <c r="T2076" s="12"/>
      <c r="U2076" s="10" t="str">
        <f>HYPERLINK("https://pbs.twimg.com/profile_images/768375744623996928/QT5akGzP.jpg","View")</f>
        <v>View</v>
      </c>
    </row>
    <row r="2077" spans="1:21" ht="51">
      <c r="A2077" s="6">
        <v>43424.754988425921</v>
      </c>
      <c r="B2077" s="7" t="str">
        <f>HYPERLINK("https://twitter.com/Cs_Guadalajara","@Cs_Guadalajara")</f>
        <v>@Cs_Guadalajara</v>
      </c>
      <c r="C2077" s="8" t="s">
        <v>268</v>
      </c>
      <c r="D2077" s="9" t="s">
        <v>5183</v>
      </c>
      <c r="E2077" s="10" t="str">
        <f>HYPERLINK("https://twitter.com/Cs_Guadalajara/status/1064928152487673857","1064928152487673857")</f>
        <v>1064928152487673857</v>
      </c>
      <c r="F2077" s="12"/>
      <c r="G2077" s="11" t="s">
        <v>5184</v>
      </c>
      <c r="H2077" s="12"/>
      <c r="I2077" s="13">
        <v>3</v>
      </c>
      <c r="J2077" s="13">
        <v>5</v>
      </c>
      <c r="K2077" s="14" t="str">
        <f>HYPERLINK("http://twitter.com/download/android","Twitter for Android")</f>
        <v>Twitter for Android</v>
      </c>
      <c r="L2077" s="13">
        <v>3203</v>
      </c>
      <c r="M2077" s="13">
        <v>2388</v>
      </c>
      <c r="N2077" s="13">
        <v>56</v>
      </c>
      <c r="O2077" s="15"/>
      <c r="P2077" s="6">
        <v>41874.941435185188</v>
      </c>
      <c r="Q2077" s="16" t="s">
        <v>271</v>
      </c>
      <c r="R2077" s="17" t="s">
        <v>272</v>
      </c>
      <c r="S2077" s="11" t="s">
        <v>273</v>
      </c>
      <c r="T2077" s="12"/>
      <c r="U2077" s="10" t="str">
        <f>HYPERLINK("https://pbs.twimg.com/profile_images/899521302339493888/baoQBrzP.jpg","View")</f>
        <v>View</v>
      </c>
    </row>
    <row r="2078" spans="1:21" ht="40.799999999999997">
      <c r="A2078" s="6">
        <v>43424.754826388889</v>
      </c>
      <c r="B2078" s="7" t="str">
        <f>HYPERLINK("https://twitter.com/yosoynaranjito_","@yosoynaranjito_")</f>
        <v>@yosoynaranjito_</v>
      </c>
      <c r="C2078" s="8" t="s">
        <v>7280</v>
      </c>
      <c r="D2078" s="9" t="s">
        <v>7411</v>
      </c>
      <c r="E2078" s="10" t="str">
        <f>HYPERLINK("https://twitter.com/yosoynaranjito_/status/1064928093066928128","1064928093066928128")</f>
        <v>1064928093066928128</v>
      </c>
      <c r="F2078" s="11" t="s">
        <v>7190</v>
      </c>
      <c r="G2078" s="12"/>
      <c r="H2078" s="12"/>
      <c r="I2078" s="13">
        <v>28</v>
      </c>
      <c r="J2078" s="13">
        <v>24</v>
      </c>
      <c r="K2078" s="14" t="str">
        <f>HYPERLINK("http://twitter.com/download/iphone","Twitter for iPhone")</f>
        <v>Twitter for iPhone</v>
      </c>
      <c r="L2078" s="13">
        <v>22149</v>
      </c>
      <c r="M2078" s="13">
        <v>20131</v>
      </c>
      <c r="N2078" s="13">
        <v>133</v>
      </c>
      <c r="O2078" s="15"/>
      <c r="P2078" s="6">
        <v>42301.704398148147</v>
      </c>
      <c r="Q2078" s="16" t="s">
        <v>7282</v>
      </c>
      <c r="R2078" s="17" t="s">
        <v>7283</v>
      </c>
      <c r="S2078" s="11" t="s">
        <v>7284</v>
      </c>
      <c r="T2078" s="12"/>
      <c r="U2078" s="10" t="str">
        <f>HYPERLINK("https://pbs.twimg.com/profile_images/1064258315931258881/2mY8b8BQ.jpg","View")</f>
        <v>View</v>
      </c>
    </row>
    <row r="2079" spans="1:21" ht="71.400000000000006">
      <c r="A2079" s="6">
        <v>43424.754421296297</v>
      </c>
      <c r="B2079" s="7" t="str">
        <f>HYPERLINK("https://twitter.com/salto_acevedo","@salto_acevedo")</f>
        <v>@salto_acevedo</v>
      </c>
      <c r="C2079" s="8" t="s">
        <v>5187</v>
      </c>
      <c r="D2079" s="9" t="s">
        <v>5188</v>
      </c>
      <c r="E2079" s="10" t="str">
        <f>HYPERLINK("https://twitter.com/salto_acevedo/status/1064927944978632704","1064927944978632704")</f>
        <v>1064927944978632704</v>
      </c>
      <c r="F2079" s="11" t="s">
        <v>3705</v>
      </c>
      <c r="G2079" s="11" t="s">
        <v>3707</v>
      </c>
      <c r="H2079" s="12"/>
      <c r="I2079" s="13">
        <v>0</v>
      </c>
      <c r="J2079" s="13">
        <v>0</v>
      </c>
      <c r="K2079" s="14" t="str">
        <f>HYPERLINK("http://twitter.com/download/android","Twitter for Android")</f>
        <v>Twitter for Android</v>
      </c>
      <c r="L2079" s="13">
        <v>324</v>
      </c>
      <c r="M2079" s="13">
        <v>395</v>
      </c>
      <c r="N2079" s="13">
        <v>3</v>
      </c>
      <c r="O2079" s="15"/>
      <c r="P2079" s="6">
        <v>42391.980034722219</v>
      </c>
      <c r="Q2079" s="12"/>
      <c r="R2079" s="17" t="s">
        <v>5192</v>
      </c>
      <c r="S2079" s="12"/>
      <c r="T2079" s="12"/>
      <c r="U2079" s="10" t="str">
        <f>HYPERLINK("https://pbs.twimg.com/profile_images/985208986181033984/7BuEUpqa.jpg","View")</f>
        <v>View</v>
      </c>
    </row>
    <row r="2080" spans="1:21" ht="51">
      <c r="A2080" s="6">
        <v>43424.753761574073</v>
      </c>
      <c r="B2080" s="7" t="str">
        <f>HYPERLINK("https://twitter.com/PCamorrista","@PCamorrista")</f>
        <v>@PCamorrista</v>
      </c>
      <c r="C2080" s="8" t="s">
        <v>311</v>
      </c>
      <c r="D2080" s="9" t="s">
        <v>5193</v>
      </c>
      <c r="E2080" s="10" t="str">
        <f>HYPERLINK("https://twitter.com/PCamorrista/status/1064927708092788737","1064927708092788737")</f>
        <v>1064927708092788737</v>
      </c>
      <c r="F2080" s="12"/>
      <c r="G2080" s="11" t="s">
        <v>5194</v>
      </c>
      <c r="H2080" s="12"/>
      <c r="I2080" s="13">
        <v>7</v>
      </c>
      <c r="J2080" s="13">
        <v>7</v>
      </c>
      <c r="K2080" s="14" t="str">
        <f t="shared" ref="K2080:K2081" si="441">HYPERLINK("https://www.hootsuite.com","Hootsuite Inc.")</f>
        <v>Hootsuite Inc.</v>
      </c>
      <c r="L2080" s="13">
        <v>1953</v>
      </c>
      <c r="M2080" s="13">
        <v>1977</v>
      </c>
      <c r="N2080" s="13">
        <v>10</v>
      </c>
      <c r="O2080" s="15"/>
      <c r="P2080" s="6">
        <v>43114.384884259256</v>
      </c>
      <c r="Q2080" s="16" t="s">
        <v>37</v>
      </c>
      <c r="R2080" s="17" t="s">
        <v>314</v>
      </c>
      <c r="S2080" s="11" t="s">
        <v>315</v>
      </c>
      <c r="T2080" s="12"/>
      <c r="U2080" s="10" t="str">
        <f>HYPERLINK("https://pbs.twimg.com/profile_images/952459031083397120/u6DBThkF.jpg","View")</f>
        <v>View</v>
      </c>
    </row>
    <row r="2081" spans="1:21" ht="51">
      <c r="A2081" s="6">
        <v>43424.752905092595</v>
      </c>
      <c r="B2081" s="7" t="str">
        <f>HYPERLINK("https://twitter.com/andreapt85","@andreapt85")</f>
        <v>@andreapt85</v>
      </c>
      <c r="C2081" s="8" t="s">
        <v>1177</v>
      </c>
      <c r="D2081" s="9" t="s">
        <v>5195</v>
      </c>
      <c r="E2081" s="10" t="str">
        <f>HYPERLINK("https://twitter.com/andreapt85/status/1064927396921511936","1064927396921511936")</f>
        <v>1064927396921511936</v>
      </c>
      <c r="F2081" s="12"/>
      <c r="G2081" s="11" t="s">
        <v>5196</v>
      </c>
      <c r="H2081" s="12"/>
      <c r="I2081" s="13">
        <v>4</v>
      </c>
      <c r="J2081" s="13">
        <v>2</v>
      </c>
      <c r="K2081" s="14" t="str">
        <f t="shared" si="441"/>
        <v>Hootsuite Inc.</v>
      </c>
      <c r="L2081" s="13">
        <v>689</v>
      </c>
      <c r="M2081" s="13">
        <v>1116</v>
      </c>
      <c r="N2081" s="13">
        <v>22</v>
      </c>
      <c r="O2081" s="15"/>
      <c r="P2081" s="6">
        <v>40596.342546296299</v>
      </c>
      <c r="Q2081" s="16" t="s">
        <v>1179</v>
      </c>
      <c r="R2081" s="17" t="s">
        <v>1180</v>
      </c>
      <c r="S2081" s="12"/>
      <c r="T2081" s="12"/>
      <c r="U2081" s="10" t="str">
        <f>HYPERLINK("https://pbs.twimg.com/profile_images/1063789726715559936/8b5BUv58.jpg","View")</f>
        <v>View</v>
      </c>
    </row>
    <row r="2082" spans="1:21" ht="51">
      <c r="A2082" s="6">
        <v>43424.750613425931</v>
      </c>
      <c r="B2082" s="7" t="str">
        <f>HYPERLINK("https://twitter.com/cyra68","@cyra68")</f>
        <v>@cyra68</v>
      </c>
      <c r="C2082" s="8" t="s">
        <v>5197</v>
      </c>
      <c r="D2082" s="9" t="s">
        <v>5198</v>
      </c>
      <c r="E2082" s="10" t="str">
        <f>HYPERLINK("https://twitter.com/cyra68/status/1064926566885535745","1064926566885535745")</f>
        <v>1064926566885535745</v>
      </c>
      <c r="F2082" s="12"/>
      <c r="G2082" s="11" t="s">
        <v>5199</v>
      </c>
      <c r="H2082" s="12"/>
      <c r="I2082" s="13">
        <v>69</v>
      </c>
      <c r="J2082" s="13">
        <v>53</v>
      </c>
      <c r="K2082" s="14" t="str">
        <f>HYPERLINK("http://twitter.com/download/iphone","Twitter for iPhone")</f>
        <v>Twitter for iPhone</v>
      </c>
      <c r="L2082" s="13">
        <v>1698</v>
      </c>
      <c r="M2082" s="13">
        <v>1654</v>
      </c>
      <c r="N2082" s="13">
        <v>21</v>
      </c>
      <c r="O2082" s="15"/>
      <c r="P2082" s="6">
        <v>42201.598310185189</v>
      </c>
      <c r="Q2082" s="12"/>
      <c r="R2082" s="17" t="s">
        <v>5200</v>
      </c>
      <c r="S2082" s="12"/>
      <c r="T2082" s="12"/>
      <c r="U2082" s="10" t="str">
        <f>HYPERLINK("https://pbs.twimg.com/profile_images/621656693739548672/8S6Fx0bu.jpg","View")</f>
        <v>View</v>
      </c>
    </row>
    <row r="2083" spans="1:21" ht="51">
      <c r="A2083" s="6">
        <v>43424.750486111108</v>
      </c>
      <c r="B2083" s="7" t="str">
        <f>HYPERLINK("https://twitter.com/PCamorrista","@PCamorrista")</f>
        <v>@PCamorrista</v>
      </c>
      <c r="C2083" s="8" t="s">
        <v>311</v>
      </c>
      <c r="D2083" s="9" t="s">
        <v>5201</v>
      </c>
      <c r="E2083" s="10" t="str">
        <f>HYPERLINK("https://twitter.com/PCamorrista/status/1064926519229931520","1064926519229931520")</f>
        <v>1064926519229931520</v>
      </c>
      <c r="F2083" s="12"/>
      <c r="G2083" s="11" t="s">
        <v>5202</v>
      </c>
      <c r="H2083" s="12"/>
      <c r="I2083" s="13">
        <v>12</v>
      </c>
      <c r="J2083" s="13">
        <v>7</v>
      </c>
      <c r="K2083" s="14" t="str">
        <f>HYPERLINK("https://www.hootsuite.com","Hootsuite Inc.")</f>
        <v>Hootsuite Inc.</v>
      </c>
      <c r="L2083" s="13">
        <v>1953</v>
      </c>
      <c r="M2083" s="13">
        <v>1977</v>
      </c>
      <c r="N2083" s="13">
        <v>10</v>
      </c>
      <c r="O2083" s="15"/>
      <c r="P2083" s="6">
        <v>43114.384884259256</v>
      </c>
      <c r="Q2083" s="16" t="s">
        <v>37</v>
      </c>
      <c r="R2083" s="17" t="s">
        <v>314</v>
      </c>
      <c r="S2083" s="11" t="s">
        <v>315</v>
      </c>
      <c r="T2083" s="12"/>
      <c r="U2083" s="10" t="str">
        <f>HYPERLINK("https://pbs.twimg.com/profile_images/952459031083397120/u6DBThkF.jpg","View")</f>
        <v>View</v>
      </c>
    </row>
    <row r="2084" spans="1:21" ht="51">
      <c r="A2084" s="6">
        <v>43424.75001157407</v>
      </c>
      <c r="B2084" s="7" t="str">
        <f>HYPERLINK("https://twitter.com/ACCESION1","@ACCESION1")</f>
        <v>@ACCESION1</v>
      </c>
      <c r="C2084" s="8" t="s">
        <v>5204</v>
      </c>
      <c r="D2084" s="9" t="s">
        <v>5205</v>
      </c>
      <c r="E2084" s="10" t="str">
        <f>HYPERLINK("https://twitter.com/ACCESION1/status/1064926348332826626","1064926348332826626")</f>
        <v>1064926348332826626</v>
      </c>
      <c r="F2084" s="12"/>
      <c r="G2084" s="11" t="s">
        <v>5207</v>
      </c>
      <c r="H2084" s="12"/>
      <c r="I2084" s="13">
        <v>50</v>
      </c>
      <c r="J2084" s="13">
        <v>30</v>
      </c>
      <c r="K2084" s="14" t="str">
        <f>HYPERLINK("https://about.twitter.com/products/tweetdeck","TweetDeck")</f>
        <v>TweetDeck</v>
      </c>
      <c r="L2084" s="13">
        <v>1701</v>
      </c>
      <c r="M2084" s="13">
        <v>4996</v>
      </c>
      <c r="N2084" s="13">
        <v>0</v>
      </c>
      <c r="O2084" s="15"/>
      <c r="P2084" s="6">
        <v>43309.753414351857</v>
      </c>
      <c r="Q2084" s="16" t="s">
        <v>37</v>
      </c>
      <c r="R2084" s="19"/>
      <c r="S2084" s="12"/>
      <c r="T2084" s="12"/>
      <c r="U2084" s="10" t="str">
        <f>HYPERLINK("https://pbs.twimg.com/profile_images/1023243335765508096/Jv0xYxir.jpg","View")</f>
        <v>View</v>
      </c>
    </row>
    <row r="2085" spans="1:21" ht="40.799999999999997">
      <c r="A2085" s="6">
        <v>43424.749872685185</v>
      </c>
      <c r="B2085" s="7" t="str">
        <f>HYPERLINK("https://twitter.com/maestrodemocos","@maestrodemocos")</f>
        <v>@maestrodemocos</v>
      </c>
      <c r="C2085" s="8" t="s">
        <v>5208</v>
      </c>
      <c r="D2085" s="9" t="s">
        <v>5209</v>
      </c>
      <c r="E2085" s="10" t="str">
        <f>HYPERLINK("https://twitter.com/maestrodemocos/status/1064926298332688391","1064926298332688391")</f>
        <v>1064926298332688391</v>
      </c>
      <c r="F2085" s="12"/>
      <c r="G2085" s="11" t="s">
        <v>5210</v>
      </c>
      <c r="H2085" s="12"/>
      <c r="I2085" s="13">
        <v>0</v>
      </c>
      <c r="J2085" s="13">
        <v>0</v>
      </c>
      <c r="K2085" s="14" t="str">
        <f>HYPERLINK("http://twitter.com/download/iphone","Twitter for iPhone")</f>
        <v>Twitter for iPhone</v>
      </c>
      <c r="L2085" s="13">
        <v>504</v>
      </c>
      <c r="M2085" s="13">
        <v>847</v>
      </c>
      <c r="N2085" s="13">
        <v>8</v>
      </c>
      <c r="O2085" s="15"/>
      <c r="P2085" s="6">
        <v>40307.497662037036</v>
      </c>
      <c r="Q2085" s="16" t="s">
        <v>5211</v>
      </c>
      <c r="R2085" s="17" t="s">
        <v>5212</v>
      </c>
      <c r="S2085" s="12"/>
      <c r="T2085" s="12"/>
      <c r="U2085" s="10" t="str">
        <f>HYPERLINK("https://pbs.twimg.com/profile_images/742839747790376960/7-wVrSnC.jpg","View")</f>
        <v>View</v>
      </c>
    </row>
    <row r="2086" spans="1:21" ht="51">
      <c r="A2086" s="6">
        <v>43424.748148148152</v>
      </c>
      <c r="B2086" s="7" t="str">
        <f>HYPERLINK("https://twitter.com/EstroPPicio","@EstroPPicio")</f>
        <v>@EstroPPicio</v>
      </c>
      <c r="C2086" s="8" t="s">
        <v>7412</v>
      </c>
      <c r="D2086" s="9" t="s">
        <v>7413</v>
      </c>
      <c r="E2086" s="10" t="str">
        <f>HYPERLINK("https://twitter.com/EstroPPicio/status/1064925671892373504","1064925671892373504")</f>
        <v>1064925671892373504</v>
      </c>
      <c r="F2086" s="11" t="s">
        <v>7414</v>
      </c>
      <c r="G2086" s="12"/>
      <c r="H2086" s="12"/>
      <c r="I2086" s="13">
        <v>1</v>
      </c>
      <c r="J2086" s="13">
        <v>0</v>
      </c>
      <c r="K2086" s="14" t="str">
        <f>HYPERLINK("http://twitter.com","Twitter Web Client")</f>
        <v>Twitter Web Client</v>
      </c>
      <c r="L2086" s="13">
        <v>1154</v>
      </c>
      <c r="M2086" s="13">
        <v>1795</v>
      </c>
      <c r="N2086" s="13">
        <v>31</v>
      </c>
      <c r="O2086" s="15"/>
      <c r="P2086" s="6">
        <v>41094.793888888889</v>
      </c>
      <c r="Q2086" s="16" t="s">
        <v>7415</v>
      </c>
      <c r="R2086" s="17" t="s">
        <v>7416</v>
      </c>
      <c r="S2086" s="11" t="s">
        <v>7417</v>
      </c>
      <c r="T2086" s="12"/>
      <c r="U2086" s="10" t="str">
        <f>HYPERLINK("https://pbs.twimg.com/profile_images/2907443219/dd101e9730a0320edfd3bf1f0cfc1495.jpeg","View")</f>
        <v>View</v>
      </c>
    </row>
    <row r="2087" spans="1:21" ht="51">
      <c r="A2087" s="6">
        <v>43424.745729166665</v>
      </c>
      <c r="B2087" s="7" t="str">
        <f>HYPERLINK("https://twitter.com/6Q28675125","@6Q28675125")</f>
        <v>@6Q28675125</v>
      </c>
      <c r="C2087" s="8" t="s">
        <v>5215</v>
      </c>
      <c r="D2087" s="9" t="s">
        <v>5217</v>
      </c>
      <c r="E2087" s="10" t="str">
        <f>HYPERLINK("https://twitter.com/6Q28675125/status/1064924798348857344","1064924798348857344")</f>
        <v>1064924798348857344</v>
      </c>
      <c r="F2087" s="12"/>
      <c r="G2087" s="12"/>
      <c r="H2087" s="12"/>
      <c r="I2087" s="13">
        <v>0</v>
      </c>
      <c r="J2087" s="13">
        <v>4</v>
      </c>
      <c r="K2087" s="14" t="str">
        <f>HYPERLINK("http://twitter.com/download/android","Twitter for Android")</f>
        <v>Twitter for Android</v>
      </c>
      <c r="L2087" s="13">
        <v>53</v>
      </c>
      <c r="M2087" s="13">
        <v>77</v>
      </c>
      <c r="N2087" s="13">
        <v>1</v>
      </c>
      <c r="O2087" s="15"/>
      <c r="P2087" s="6">
        <v>43332.26489583333</v>
      </c>
      <c r="Q2087" s="16" t="s">
        <v>310</v>
      </c>
      <c r="R2087" s="17" t="s">
        <v>5219</v>
      </c>
      <c r="S2087" s="12"/>
      <c r="T2087" s="12"/>
      <c r="U2087" s="10" t="str">
        <f>HYPERLINK("https://pbs.twimg.com/profile_images/1032689480224796672/ECSav5dC.jpg","View")</f>
        <v>View</v>
      </c>
    </row>
    <row r="2088" spans="1:21" ht="20.399999999999999">
      <c r="A2088" s="6">
        <v>43424.735682870371</v>
      </c>
      <c r="B2088" s="7" t="str">
        <f>HYPERLINK("https://twitter.com/ppapanol","@ppapanol")</f>
        <v>@ppapanol</v>
      </c>
      <c r="C2088" s="8" t="s">
        <v>7418</v>
      </c>
      <c r="D2088" s="9" t="s">
        <v>7419</v>
      </c>
      <c r="E2088" s="10" t="str">
        <f>HYPERLINK("https://twitter.com/ppapanol/status/1064921156766089216","1064921156766089216")</f>
        <v>1064921156766089216</v>
      </c>
      <c r="F2088" s="11" t="s">
        <v>7058</v>
      </c>
      <c r="G2088" s="12"/>
      <c r="H2088" s="12"/>
      <c r="I2088" s="13">
        <v>3</v>
      </c>
      <c r="J2088" s="13">
        <v>2</v>
      </c>
      <c r="K2088" s="14" t="str">
        <f>HYPERLINK("http://twitter.com/download/iphone","Twitter for iPhone")</f>
        <v>Twitter for iPhone</v>
      </c>
      <c r="L2088" s="13">
        <v>2013</v>
      </c>
      <c r="M2088" s="13">
        <v>4674</v>
      </c>
      <c r="N2088" s="13">
        <v>14</v>
      </c>
      <c r="O2088" s="15"/>
      <c r="P2088" s="6">
        <v>42334.543576388889</v>
      </c>
      <c r="Q2088" s="12"/>
      <c r="R2088" s="19"/>
      <c r="S2088" s="11" t="s">
        <v>7420</v>
      </c>
      <c r="T2088" s="12"/>
      <c r="U2088" s="10" t="str">
        <f>HYPERLINK("https://pbs.twimg.com/profile_images/669857784943497216/RABWZZ4G.jpg","View")</f>
        <v>View</v>
      </c>
    </row>
    <row r="2089" spans="1:21" ht="30.6">
      <c r="A2089" s="6">
        <v>43424.729513888888</v>
      </c>
      <c r="B2089" s="7" t="str">
        <f>HYPERLINK("https://twitter.com/eldiarioclm","@eldiarioclm")</f>
        <v>@eldiarioclm</v>
      </c>
      <c r="C2089" s="8" t="s">
        <v>7421</v>
      </c>
      <c r="D2089" s="9" t="s">
        <v>7422</v>
      </c>
      <c r="E2089" s="10" t="str">
        <f>HYPERLINK("https://twitter.com/eldiarioclm/status/1064918918710599680","1064918918710599680")</f>
        <v>1064918918710599680</v>
      </c>
      <c r="F2089" s="11" t="s">
        <v>7423</v>
      </c>
      <c r="G2089" s="12"/>
      <c r="H2089" s="12"/>
      <c r="I2089" s="13">
        <v>0</v>
      </c>
      <c r="J2089" s="13">
        <v>1</v>
      </c>
      <c r="K2089" s="14" t="str">
        <f>HYPERLINK("https://www.hootsuite.com","Hootsuite Inc.")</f>
        <v>Hootsuite Inc.</v>
      </c>
      <c r="L2089" s="13">
        <v>7879</v>
      </c>
      <c r="M2089" s="13">
        <v>1062</v>
      </c>
      <c r="N2089" s="13">
        <v>166</v>
      </c>
      <c r="O2089" s="15"/>
      <c r="P2089" s="6">
        <v>41583.916898148149</v>
      </c>
      <c r="Q2089" s="16" t="s">
        <v>98</v>
      </c>
      <c r="R2089" s="17" t="s">
        <v>7424</v>
      </c>
      <c r="S2089" s="11" t="s">
        <v>7425</v>
      </c>
      <c r="T2089" s="12"/>
      <c r="U2089" s="10" t="str">
        <f>HYPERLINK("https://pbs.twimg.com/profile_images/1014423722155966464/iFIEz16v.jpg","View")</f>
        <v>View</v>
      </c>
    </row>
    <row r="2090" spans="1:21" ht="40.799999999999997">
      <c r="A2090" s="6">
        <v>43424.721087962964</v>
      </c>
      <c r="B2090" s="7" t="str">
        <f>HYPERLINK("https://twitter.com/tuitiritran","@tuitiritran")</f>
        <v>@tuitiritran</v>
      </c>
      <c r="C2090" s="8" t="s">
        <v>2496</v>
      </c>
      <c r="D2090" s="9" t="s">
        <v>5220</v>
      </c>
      <c r="E2090" s="10" t="str">
        <f>HYPERLINK("https://twitter.com/tuitiritran/status/1064915868264669186","1064915868264669186")</f>
        <v>1064915868264669186</v>
      </c>
      <c r="F2090" s="12"/>
      <c r="G2090" s="12"/>
      <c r="H2090" s="12"/>
      <c r="I2090" s="13">
        <v>1</v>
      </c>
      <c r="J2090" s="13">
        <v>1</v>
      </c>
      <c r="K2090" s="14" t="str">
        <f>HYPERLINK("http://twitter.com","Twitter Web Client")</f>
        <v>Twitter Web Client</v>
      </c>
      <c r="L2090" s="13">
        <v>390</v>
      </c>
      <c r="M2090" s="13">
        <v>231</v>
      </c>
      <c r="N2090" s="13">
        <v>1</v>
      </c>
      <c r="O2090" s="15"/>
      <c r="P2090" s="6">
        <v>43044.588229166664</v>
      </c>
      <c r="Q2090" s="16" t="s">
        <v>2499</v>
      </c>
      <c r="R2090" s="17" t="s">
        <v>2500</v>
      </c>
      <c r="S2090" s="12"/>
      <c r="T2090" s="12"/>
      <c r="U2090" s="10" t="str">
        <f>HYPERLINK("https://pbs.twimg.com/profile_images/1000008540818477056/2g7AxKL8.jpg","View")</f>
        <v>View</v>
      </c>
    </row>
    <row r="2091" spans="1:21" ht="20.399999999999999">
      <c r="A2091" s="6">
        <v>43424.71875</v>
      </c>
      <c r="B2091" s="7" t="str">
        <f>HYPERLINK("https://twitter.com/La_SER","@La_SER")</f>
        <v>@La_SER</v>
      </c>
      <c r="C2091" s="8" t="s">
        <v>3875</v>
      </c>
      <c r="D2091" s="9" t="s">
        <v>7426</v>
      </c>
      <c r="E2091" s="10" t="str">
        <f>HYPERLINK("https://twitter.com/La_SER/status/1064915019060498433","1064915019060498433")</f>
        <v>1064915019060498433</v>
      </c>
      <c r="F2091" s="11" t="s">
        <v>7427</v>
      </c>
      <c r="G2091" s="12"/>
      <c r="H2091" s="12"/>
      <c r="I2091" s="13">
        <v>0</v>
      </c>
      <c r="J2091" s="13">
        <v>2</v>
      </c>
      <c r="K2091" s="14" t="str">
        <f>HYPERLINK("https://about.twitter.com/products/tweetdeck","TweetDeck")</f>
        <v>TweetDeck</v>
      </c>
      <c r="L2091" s="13">
        <v>1152500</v>
      </c>
      <c r="M2091" s="13">
        <v>778</v>
      </c>
      <c r="N2091" s="13">
        <v>10623</v>
      </c>
      <c r="O2091" s="18" t="s">
        <v>36</v>
      </c>
      <c r="P2091" s="6">
        <v>39965.754942129628</v>
      </c>
      <c r="Q2091" s="12"/>
      <c r="R2091" s="17" t="s">
        <v>3992</v>
      </c>
      <c r="S2091" s="11" t="s">
        <v>3993</v>
      </c>
      <c r="T2091" s="12"/>
      <c r="U2091" s="10" t="str">
        <f>HYPERLINK("https://pbs.twimg.com/profile_images/1039929065774481409/zsYMDMZj.jpg","View")</f>
        <v>View</v>
      </c>
    </row>
    <row r="2092" spans="1:21" ht="30.6">
      <c r="A2092" s="6">
        <v>43424.718541666662</v>
      </c>
      <c r="B2092" s="7" t="str">
        <f>HYPERLINK("https://twitter.com/RaulSaavedraLo1","@RaulSaavedraLo1")</f>
        <v>@RaulSaavedraLo1</v>
      </c>
      <c r="C2092" s="8" t="s">
        <v>7428</v>
      </c>
      <c r="D2092" s="9" t="s">
        <v>6896</v>
      </c>
      <c r="E2092" s="10" t="str">
        <f>HYPERLINK("https://twitter.com/RaulSaavedraLo1/status/1064914944301383680","1064914944301383680")</f>
        <v>1064914944301383680</v>
      </c>
      <c r="F2092" s="11" t="s">
        <v>5034</v>
      </c>
      <c r="G2092" s="12"/>
      <c r="H2092" s="12"/>
      <c r="I2092" s="13">
        <v>1</v>
      </c>
      <c r="J2092" s="13">
        <v>0</v>
      </c>
      <c r="K2092" s="14" t="str">
        <f>HYPERLINK("http://twitter.com/download/android","Twitter for Android")</f>
        <v>Twitter for Android</v>
      </c>
      <c r="L2092" s="13">
        <v>653</v>
      </c>
      <c r="M2092" s="13">
        <v>628</v>
      </c>
      <c r="N2092" s="13">
        <v>9</v>
      </c>
      <c r="O2092" s="15"/>
      <c r="P2092" s="6">
        <v>42316.959988425922</v>
      </c>
      <c r="Q2092" s="16" t="s">
        <v>7429</v>
      </c>
      <c r="R2092" s="17" t="s">
        <v>7430</v>
      </c>
      <c r="S2092" s="12"/>
      <c r="T2092" s="12"/>
      <c r="U2092" s="10" t="str">
        <f>HYPERLINK("https://pbs.twimg.com/profile_images/1054746106691813376/0t1rJoB_.jpg","View")</f>
        <v>View</v>
      </c>
    </row>
    <row r="2093" spans="1:21" ht="61.2">
      <c r="A2093" s="6">
        <v>43424.717094907406</v>
      </c>
      <c r="B2093" s="7" t="str">
        <f>HYPERLINK("https://twitter.com/AvilRamirezM","@AvilRamirezM")</f>
        <v>@AvilRamirezM</v>
      </c>
      <c r="C2093" s="8" t="s">
        <v>5221</v>
      </c>
      <c r="D2093" s="9" t="s">
        <v>5222</v>
      </c>
      <c r="E2093" s="10" t="str">
        <f>HYPERLINK("https://twitter.com/AvilRamirezM/status/1064914421787561984","1064914421787561984")</f>
        <v>1064914421787561984</v>
      </c>
      <c r="F2093" s="12"/>
      <c r="G2093" s="11" t="s">
        <v>5223</v>
      </c>
      <c r="H2093" s="12"/>
      <c r="I2093" s="13">
        <v>10</v>
      </c>
      <c r="J2093" s="13">
        <v>0</v>
      </c>
      <c r="K2093" s="14" t="str">
        <f>HYPERLINK("http://twitter.com/#!/download/ipad","Twitter for iPad")</f>
        <v>Twitter for iPad</v>
      </c>
      <c r="L2093" s="13">
        <v>1357</v>
      </c>
      <c r="M2093" s="13">
        <v>668</v>
      </c>
      <c r="N2093" s="13">
        <v>23</v>
      </c>
      <c r="O2093" s="15"/>
      <c r="P2093" s="6">
        <v>40283.104861111111</v>
      </c>
      <c r="Q2093" s="16" t="s">
        <v>5224</v>
      </c>
      <c r="R2093" s="17" t="s">
        <v>5225</v>
      </c>
      <c r="S2093" s="12"/>
      <c r="T2093" s="12"/>
      <c r="U2093" s="10" t="str">
        <f>HYPERLINK("https://pbs.twimg.com/profile_images/1055498768261570561/hBCeeDEL.jpg","View")</f>
        <v>View</v>
      </c>
    </row>
    <row r="2094" spans="1:21" ht="20.399999999999999">
      <c r="A2094" s="6">
        <v>43424.71603009259</v>
      </c>
      <c r="B2094" s="7" t="str">
        <f>HYPERLINK("https://twitter.com/colcommendoza","@colcommendoza")</f>
        <v>@colcommendoza</v>
      </c>
      <c r="C2094" s="8" t="s">
        <v>7431</v>
      </c>
      <c r="D2094" s="9" t="s">
        <v>7432</v>
      </c>
      <c r="E2094" s="10" t="str">
        <f>HYPERLINK("https://twitter.com/colcommendoza/status/1064914035743866881","1064914035743866881")</f>
        <v>1064914035743866881</v>
      </c>
      <c r="F2094" s="12"/>
      <c r="G2094" s="12"/>
      <c r="H2094" s="12"/>
      <c r="I2094" s="13">
        <v>0</v>
      </c>
      <c r="J2094" s="13">
        <v>0</v>
      </c>
      <c r="K2094" s="14" t="str">
        <f>HYPERLINK("http://twitter.com/download/android","Twitter for Android")</f>
        <v>Twitter for Android</v>
      </c>
      <c r="L2094" s="13">
        <v>66</v>
      </c>
      <c r="M2094" s="13">
        <v>239</v>
      </c>
      <c r="N2094" s="13">
        <v>2</v>
      </c>
      <c r="O2094" s="15"/>
      <c r="P2094" s="6">
        <v>42134.941782407404</v>
      </c>
      <c r="Q2094" s="16" t="s">
        <v>7433</v>
      </c>
      <c r="R2094" s="17" t="s">
        <v>7434</v>
      </c>
      <c r="S2094" s="12"/>
      <c r="T2094" s="12"/>
      <c r="U2094" s="10" t="str">
        <f>HYPERLINK("https://pbs.twimg.com/profile_images/597508962557272066/IkiozVj5.jpg","View")</f>
        <v>View</v>
      </c>
    </row>
    <row r="2095" spans="1:21" ht="40.799999999999997">
      <c r="A2095" s="6">
        <v>43424.709803240738</v>
      </c>
      <c r="B2095" s="7" t="str">
        <f>HYPERLINK("https://twitter.com/EstadoDeSitio_","@EstadoDeSitio_")</f>
        <v>@EstadoDeSitio_</v>
      </c>
      <c r="C2095" s="8" t="s">
        <v>7435</v>
      </c>
      <c r="D2095" s="9" t="s">
        <v>7436</v>
      </c>
      <c r="E2095" s="10" t="str">
        <f>HYPERLINK("https://twitter.com/EstadoDeSitio_/status/1064911778944090113","1064911778944090113")</f>
        <v>1064911778944090113</v>
      </c>
      <c r="F2095" s="11" t="s">
        <v>7437</v>
      </c>
      <c r="G2095" s="12"/>
      <c r="H2095" s="12"/>
      <c r="I2095" s="13">
        <v>0</v>
      </c>
      <c r="J2095" s="13">
        <v>0</v>
      </c>
      <c r="K2095" s="14" t="str">
        <f>HYPERLINK("https://ifttt.com","IFTTT")</f>
        <v>IFTTT</v>
      </c>
      <c r="L2095" s="13">
        <v>3046</v>
      </c>
      <c r="M2095" s="13">
        <v>3070</v>
      </c>
      <c r="N2095" s="13">
        <v>5</v>
      </c>
      <c r="O2095" s="15"/>
      <c r="P2095" s="6">
        <v>43025.072835648149</v>
      </c>
      <c r="Q2095" s="16" t="s">
        <v>2952</v>
      </c>
      <c r="R2095" s="17" t="s">
        <v>7438</v>
      </c>
      <c r="S2095" s="12"/>
      <c r="T2095" s="12"/>
      <c r="U2095" s="10" t="str">
        <f>HYPERLINK("https://pbs.twimg.com/profile_images/920076409808261121/GMzYHJhU.jpg","View")</f>
        <v>View</v>
      </c>
    </row>
    <row r="2096" spans="1:21" ht="51">
      <c r="A2096" s="6">
        <v>43424.709201388891</v>
      </c>
      <c r="B2096" s="7" t="str">
        <f>HYPERLINK("https://twitter.com/RafaelC77064970","@RafaelC77064970")</f>
        <v>@RafaelC77064970</v>
      </c>
      <c r="C2096" s="8" t="s">
        <v>5226</v>
      </c>
      <c r="D2096" s="9" t="s">
        <v>5227</v>
      </c>
      <c r="E2096" s="10" t="str">
        <f>HYPERLINK("https://twitter.com/RafaelC77064970/status/1064911559359647744","1064911559359647744")</f>
        <v>1064911559359647744</v>
      </c>
      <c r="F2096" s="12"/>
      <c r="G2096" s="11" t="s">
        <v>5228</v>
      </c>
      <c r="H2096" s="12"/>
      <c r="I2096" s="13">
        <v>0</v>
      </c>
      <c r="J2096" s="13">
        <v>0</v>
      </c>
      <c r="K2096" s="14" t="str">
        <f>HYPERLINK("http://twitter.com/download/android","Twitter for Android")</f>
        <v>Twitter for Android</v>
      </c>
      <c r="L2096" s="13">
        <v>4013</v>
      </c>
      <c r="M2096" s="13">
        <v>4801</v>
      </c>
      <c r="N2096" s="13">
        <v>20</v>
      </c>
      <c r="O2096" s="15"/>
      <c r="P2096" s="6">
        <v>41994.041331018518</v>
      </c>
      <c r="Q2096" s="16" t="s">
        <v>331</v>
      </c>
      <c r="R2096" s="17" t="s">
        <v>5230</v>
      </c>
      <c r="S2096" s="12"/>
      <c r="T2096" s="12"/>
      <c r="U2096" s="10" t="str">
        <f>HYPERLINK("https://pbs.twimg.com/profile_images/884881821128851459/E1Lt7Fh9.jpg","View")</f>
        <v>View</v>
      </c>
    </row>
    <row r="2097" spans="1:21" ht="51">
      <c r="A2097" s="6">
        <v>43424.709027777775</v>
      </c>
      <c r="B2097" s="7" t="str">
        <f>HYPERLINK("https://twitter.com/bitMomentum","@bitMomentum")</f>
        <v>@bitMomentum</v>
      </c>
      <c r="C2097" s="8" t="s">
        <v>706</v>
      </c>
      <c r="D2097" s="9" t="s">
        <v>5231</v>
      </c>
      <c r="E2097" s="10" t="str">
        <f>HYPERLINK("https://twitter.com/bitMomentum/status/1064911495081979906","1064911495081979906")</f>
        <v>1064911495081979906</v>
      </c>
      <c r="F2097" s="12"/>
      <c r="G2097" s="12"/>
      <c r="H2097" s="12"/>
      <c r="I2097" s="13">
        <v>0</v>
      </c>
      <c r="J2097" s="13">
        <v>0</v>
      </c>
      <c r="K2097" s="14" t="str">
        <f>HYPERLINK("http://www.bitmomentum.com","bitMomentum Bot")</f>
        <v>bitMomentum Bot</v>
      </c>
      <c r="L2097" s="13">
        <v>10132</v>
      </c>
      <c r="M2097" s="13">
        <v>1060</v>
      </c>
      <c r="N2097" s="13">
        <v>262</v>
      </c>
      <c r="O2097" s="15"/>
      <c r="P2097" s="6">
        <v>41608.667511574073</v>
      </c>
      <c r="Q2097" s="12"/>
      <c r="R2097" s="17" t="s">
        <v>708</v>
      </c>
      <c r="S2097" s="11" t="s">
        <v>709</v>
      </c>
      <c r="T2097" s="12"/>
      <c r="U2097" s="10" t="str">
        <f>HYPERLINK("https://pbs.twimg.com/profile_images/378800000862185241/20ij2H3u.png","View")</f>
        <v>View</v>
      </c>
    </row>
    <row r="2098" spans="1:21" ht="51">
      <c r="A2098" s="6">
        <v>43424.705983796295</v>
      </c>
      <c r="B2098" s="7" t="str">
        <f>HYPERLINK("https://twitter.com/PRepublico","@PRepublico")</f>
        <v>@PRepublico</v>
      </c>
      <c r="C2098" s="8" t="s">
        <v>7439</v>
      </c>
      <c r="D2098" s="9" t="s">
        <v>7440</v>
      </c>
      <c r="E2098" s="10" t="str">
        <f>HYPERLINK("https://twitter.com/PRepublico/status/1064910394362347526","1064910394362347526")</f>
        <v>1064910394362347526</v>
      </c>
      <c r="F2098" s="11" t="s">
        <v>7441</v>
      </c>
      <c r="G2098" s="12"/>
      <c r="H2098" s="12"/>
      <c r="I2098" s="13">
        <v>0</v>
      </c>
      <c r="J2098" s="13">
        <v>1</v>
      </c>
      <c r="K2098" s="14" t="str">
        <f t="shared" ref="K2098:K2099" si="442">HYPERLINK("http://twitter.com","Twitter Web Client")</f>
        <v>Twitter Web Client</v>
      </c>
      <c r="L2098" s="13">
        <v>474</v>
      </c>
      <c r="M2098" s="13">
        <v>1058</v>
      </c>
      <c r="N2098" s="13">
        <v>1</v>
      </c>
      <c r="O2098" s="15"/>
      <c r="P2098" s="6">
        <v>43405.031145833331</v>
      </c>
      <c r="Q2098" s="16" t="s">
        <v>7442</v>
      </c>
      <c r="R2098" s="17" t="s">
        <v>7443</v>
      </c>
      <c r="S2098" s="12"/>
      <c r="T2098" s="12"/>
      <c r="U2098" s="10" t="str">
        <f>HYPERLINK("https://pbs.twimg.com/profile_images/1057972529158111233/qSro7T4d.jpg","View")</f>
        <v>View</v>
      </c>
    </row>
    <row r="2099" spans="1:21" ht="40.799999999999997">
      <c r="A2099" s="6">
        <v>43424.704351851848</v>
      </c>
      <c r="B2099" s="7" t="str">
        <f>HYPERLINK("https://twitter.com/EnriqueBoto","@EnriqueBoto")</f>
        <v>@EnriqueBoto</v>
      </c>
      <c r="C2099" s="8" t="s">
        <v>2558</v>
      </c>
      <c r="D2099" s="9" t="s">
        <v>5232</v>
      </c>
      <c r="E2099" s="10" t="str">
        <f>HYPERLINK("https://twitter.com/EnriqueBoto/status/1064909803355586561","1064909803355586561")</f>
        <v>1064909803355586561</v>
      </c>
      <c r="F2099" s="11" t="s">
        <v>5233</v>
      </c>
      <c r="G2099" s="12"/>
      <c r="H2099" s="12"/>
      <c r="I2099" s="13">
        <v>0</v>
      </c>
      <c r="J2099" s="13">
        <v>0</v>
      </c>
      <c r="K2099" s="14" t="str">
        <f t="shared" si="442"/>
        <v>Twitter Web Client</v>
      </c>
      <c r="L2099" s="13">
        <v>1425</v>
      </c>
      <c r="M2099" s="13">
        <v>966</v>
      </c>
      <c r="N2099" s="13">
        <v>14</v>
      </c>
      <c r="O2099" s="15"/>
      <c r="P2099" s="6">
        <v>41575.47896990741</v>
      </c>
      <c r="Q2099" s="16" t="s">
        <v>2561</v>
      </c>
      <c r="R2099" s="17" t="s">
        <v>2562</v>
      </c>
      <c r="S2099" s="12"/>
      <c r="T2099" s="12"/>
      <c r="U2099" s="10" t="str">
        <f>HYPERLINK("https://pbs.twimg.com/profile_images/432673214150356992/k4dht69u.png","View")</f>
        <v>View</v>
      </c>
    </row>
    <row r="2100" spans="1:21" ht="40.799999999999997">
      <c r="A2100" s="6">
        <v>43424.703460648147</v>
      </c>
      <c r="B2100" s="7" t="str">
        <f>HYPERLINK("https://twitter.com/europapress_tv","@europapress_tv")</f>
        <v>@europapress_tv</v>
      </c>
      <c r="C2100" s="8" t="s">
        <v>1543</v>
      </c>
      <c r="D2100" s="9" t="s">
        <v>5236</v>
      </c>
      <c r="E2100" s="10" t="str">
        <f>HYPERLINK("https://twitter.com/europapress_tv/status/1064909478317953026","1064909478317953026")</f>
        <v>1064909478317953026</v>
      </c>
      <c r="F2100" s="11" t="s">
        <v>5238</v>
      </c>
      <c r="G2100" s="11" t="s">
        <v>5239</v>
      </c>
      <c r="H2100" s="12"/>
      <c r="I2100" s="13">
        <v>0</v>
      </c>
      <c r="J2100" s="13">
        <v>1</v>
      </c>
      <c r="K2100" s="14" t="str">
        <f>HYPERLINK("https://studio.twitter.com","Media Studio")</f>
        <v>Media Studio</v>
      </c>
      <c r="L2100" s="13">
        <v>10431</v>
      </c>
      <c r="M2100" s="13">
        <v>447</v>
      </c>
      <c r="N2100" s="13">
        <v>229</v>
      </c>
      <c r="O2100" s="18" t="s">
        <v>36</v>
      </c>
      <c r="P2100" s="6">
        <v>41087.506342592591</v>
      </c>
      <c r="Q2100" s="16" t="s">
        <v>37</v>
      </c>
      <c r="R2100" s="17" t="s">
        <v>1548</v>
      </c>
      <c r="S2100" s="11" t="s">
        <v>1549</v>
      </c>
      <c r="T2100" s="12"/>
      <c r="U2100" s="10" t="str">
        <f>HYPERLINK("https://pbs.twimg.com/profile_images/520566141542887424/kS5nICev.jpeg","View")</f>
        <v>View</v>
      </c>
    </row>
    <row r="2101" spans="1:21" ht="51">
      <c r="A2101" s="6">
        <v>43424.701851851853</v>
      </c>
      <c r="B2101" s="7" t="str">
        <f>HYPERLINK("https://twitter.com/GasparGallego","@GasparGallego")</f>
        <v>@GasparGallego</v>
      </c>
      <c r="C2101" s="8" t="s">
        <v>947</v>
      </c>
      <c r="D2101" s="9" t="s">
        <v>5240</v>
      </c>
      <c r="E2101" s="10" t="str">
        <f>HYPERLINK("https://twitter.com/GasparGallego/status/1064908894659596289","1064908894659596289")</f>
        <v>1064908894659596289</v>
      </c>
      <c r="F2101" s="12"/>
      <c r="G2101" s="11" t="s">
        <v>5241</v>
      </c>
      <c r="H2101" s="12"/>
      <c r="I2101" s="13">
        <v>2</v>
      </c>
      <c r="J2101" s="13">
        <v>2</v>
      </c>
      <c r="K2101" s="14" t="str">
        <f>HYPERLINK("http://twitter.com","Twitter Web Client")</f>
        <v>Twitter Web Client</v>
      </c>
      <c r="L2101" s="13">
        <v>2189</v>
      </c>
      <c r="M2101" s="13">
        <v>2654</v>
      </c>
      <c r="N2101" s="13">
        <v>0</v>
      </c>
      <c r="O2101" s="15"/>
      <c r="P2101" s="6">
        <v>40329.573298611111</v>
      </c>
      <c r="Q2101" s="12"/>
      <c r="R2101" s="17" t="s">
        <v>950</v>
      </c>
      <c r="S2101" s="12"/>
      <c r="T2101" s="12"/>
      <c r="U2101" s="10" t="str">
        <f>HYPERLINK("https://pbs.twimg.com/profile_images/934176835998568448/5RoXWjBN.jpg","View")</f>
        <v>View</v>
      </c>
    </row>
    <row r="2102" spans="1:21" ht="20.399999999999999">
      <c r="A2102" s="6">
        <v>43424.700335648144</v>
      </c>
      <c r="B2102" s="7" t="str">
        <f>HYPERLINK("https://twitter.com/albertoarregui_","@albertoarregui_")</f>
        <v>@albertoarregui_</v>
      </c>
      <c r="C2102" s="8" t="s">
        <v>2686</v>
      </c>
      <c r="D2102" s="9" t="s">
        <v>5033</v>
      </c>
      <c r="E2102" s="10" t="str">
        <f>HYPERLINK("https://twitter.com/albertoarregui_/status/1064908347093192710","1064908347093192710")</f>
        <v>1064908347093192710</v>
      </c>
      <c r="F2102" s="11" t="s">
        <v>5034</v>
      </c>
      <c r="G2102" s="12"/>
      <c r="H2102" s="12"/>
      <c r="I2102" s="13">
        <v>0</v>
      </c>
      <c r="J2102" s="13">
        <v>1</v>
      </c>
      <c r="K2102" s="14" t="str">
        <f>HYPERLINK("http://twitter.com/download/iphone","Twitter for iPhone")</f>
        <v>Twitter for iPhone</v>
      </c>
      <c r="L2102" s="13">
        <v>1459</v>
      </c>
      <c r="M2102" s="13">
        <v>2819</v>
      </c>
      <c r="N2102" s="13">
        <v>77</v>
      </c>
      <c r="O2102" s="15"/>
      <c r="P2102" s="6">
        <v>41358.432847222226</v>
      </c>
      <c r="Q2102" s="16" t="s">
        <v>2687</v>
      </c>
      <c r="R2102" s="17" t="s">
        <v>2689</v>
      </c>
      <c r="S2102" s="12"/>
      <c r="T2102" s="12"/>
      <c r="U2102" s="10" t="str">
        <f>HYPERLINK("https://pbs.twimg.com/profile_images/1060900578186981379/InSMAxNC.jpg","View")</f>
        <v>View</v>
      </c>
    </row>
    <row r="2103" spans="1:21" ht="20.399999999999999">
      <c r="A2103" s="6">
        <v>43424.700266203705</v>
      </c>
      <c r="B2103" s="7" t="str">
        <f>HYPERLINK("https://twitter.com/PBMarbeMalaga","@PBMarbeMalaga")</f>
        <v>@PBMarbeMalaga</v>
      </c>
      <c r="C2103" s="8" t="s">
        <v>2068</v>
      </c>
      <c r="D2103" s="9" t="s">
        <v>7436</v>
      </c>
      <c r="E2103" s="10" t="str">
        <f>HYPERLINK("https://twitter.com/PBMarbeMalaga/status/1064908321360998400","1064908321360998400")</f>
        <v>1064908321360998400</v>
      </c>
      <c r="F2103" s="11" t="s">
        <v>7437</v>
      </c>
      <c r="G2103" s="12"/>
      <c r="H2103" s="12"/>
      <c r="I2103" s="13">
        <v>0</v>
      </c>
      <c r="J2103" s="13">
        <v>0</v>
      </c>
      <c r="K2103" s="14" t="str">
        <f>HYPERLINK("https://javitang.ddns.net","PBMarbeMalaga")</f>
        <v>PBMarbeMalaga</v>
      </c>
      <c r="L2103" s="13">
        <v>1222</v>
      </c>
      <c r="M2103" s="13">
        <v>1245</v>
      </c>
      <c r="N2103" s="13">
        <v>2</v>
      </c>
      <c r="O2103" s="15"/>
      <c r="P2103" s="6">
        <v>43149.814074074078</v>
      </c>
      <c r="Q2103" s="16" t="s">
        <v>2073</v>
      </c>
      <c r="R2103" s="17" t="s">
        <v>2074</v>
      </c>
      <c r="S2103" s="12"/>
      <c r="T2103" s="12"/>
      <c r="U2103" s="10" t="str">
        <f>HYPERLINK("https://pbs.twimg.com/profile_images/965296691145531392/sAFnfUu2.jpg","View")</f>
        <v>View</v>
      </c>
    </row>
    <row r="2104" spans="1:21" ht="91.8">
      <c r="A2104" s="6">
        <v>43424.697893518518</v>
      </c>
      <c r="B2104" s="7" t="str">
        <f>HYPERLINK("https://twitter.com/RuthIliana46","@RuthIliana46")</f>
        <v>@RuthIliana46</v>
      </c>
      <c r="C2104" s="8" t="s">
        <v>437</v>
      </c>
      <c r="D2104" s="9" t="s">
        <v>5242</v>
      </c>
      <c r="E2104" s="10" t="str">
        <f>HYPERLINK("https://twitter.com/RuthIliana46/status/1064907462447456256","1064907462447456256")</f>
        <v>1064907462447456256</v>
      </c>
      <c r="F2104" s="16" t="s">
        <v>5243</v>
      </c>
      <c r="G2104" s="12"/>
      <c r="H2104" s="12"/>
      <c r="I2104" s="13">
        <v>6</v>
      </c>
      <c r="J2104" s="13">
        <v>6</v>
      </c>
      <c r="K2104" s="14" t="str">
        <f>HYPERLINK("http://twitter.com/download/android","Twitter for Android")</f>
        <v>Twitter for Android</v>
      </c>
      <c r="L2104" s="13">
        <v>4287</v>
      </c>
      <c r="M2104" s="13">
        <v>4178</v>
      </c>
      <c r="N2104" s="13">
        <v>483</v>
      </c>
      <c r="O2104" s="15"/>
      <c r="P2104" s="6">
        <v>41235.80333333333</v>
      </c>
      <c r="Q2104" s="16" t="s">
        <v>440</v>
      </c>
      <c r="R2104" s="17" t="s">
        <v>441</v>
      </c>
      <c r="S2104" s="11" t="s">
        <v>442</v>
      </c>
      <c r="T2104" s="12"/>
      <c r="U2104" s="10" t="str">
        <f>HYPERLINK("https://pbs.twimg.com/profile_images/976118533162721287/GaSph7A7.jpg","View")</f>
        <v>View</v>
      </c>
    </row>
    <row r="2105" spans="1:21" ht="51">
      <c r="A2105" s="6">
        <v>43424.697557870371</v>
      </c>
      <c r="B2105" s="7" t="str">
        <f>HYPERLINK("https://twitter.com/seruntusitala","@seruntusitala")</f>
        <v>@seruntusitala</v>
      </c>
      <c r="C2105" s="8" t="s">
        <v>5246</v>
      </c>
      <c r="D2105" s="9" t="s">
        <v>5247</v>
      </c>
      <c r="E2105" s="10" t="str">
        <f>HYPERLINK("https://twitter.com/seruntusitala/status/1064907338933567488","1064907338933567488")</f>
        <v>1064907338933567488</v>
      </c>
      <c r="F2105" s="11" t="s">
        <v>5248</v>
      </c>
      <c r="G2105" s="12"/>
      <c r="H2105" s="12"/>
      <c r="I2105" s="13">
        <v>0</v>
      </c>
      <c r="J2105" s="13">
        <v>1</v>
      </c>
      <c r="K2105" s="14" t="str">
        <f>HYPERLINK("http://twitter.com","Twitter Web Client")</f>
        <v>Twitter Web Client</v>
      </c>
      <c r="L2105" s="13">
        <v>990</v>
      </c>
      <c r="M2105" s="13">
        <v>994</v>
      </c>
      <c r="N2105" s="13">
        <v>31</v>
      </c>
      <c r="O2105" s="15"/>
      <c r="P2105" s="6">
        <v>42224.764120370368</v>
      </c>
      <c r="Q2105" s="16" t="s">
        <v>37</v>
      </c>
      <c r="R2105" s="17" t="s">
        <v>5251</v>
      </c>
      <c r="S2105" s="11" t="s">
        <v>5252</v>
      </c>
      <c r="T2105" s="12"/>
      <c r="U2105" s="10" t="str">
        <f>HYPERLINK("https://pbs.twimg.com/profile_images/630662378917621761/SZm3op4R.jpg","View")</f>
        <v>View</v>
      </c>
    </row>
    <row r="2106" spans="1:21" ht="30.6">
      <c r="A2106" s="6">
        <v>43424.695347222223</v>
      </c>
      <c r="B2106" s="7" t="str">
        <f>HYPERLINK("https://twitter.com/salvadoresquius","@salvadoresquius")</f>
        <v>@salvadoresquius</v>
      </c>
      <c r="C2106" s="8" t="s">
        <v>2568</v>
      </c>
      <c r="D2106" s="9" t="s">
        <v>7444</v>
      </c>
      <c r="E2106" s="10" t="str">
        <f>HYPERLINK("https://twitter.com/salvadoresquius/status/1064906538870022144","1064906538870022144")</f>
        <v>1064906538870022144</v>
      </c>
      <c r="F2106" s="11" t="s">
        <v>5034</v>
      </c>
      <c r="G2106" s="12"/>
      <c r="H2106" s="12"/>
      <c r="I2106" s="13">
        <v>0</v>
      </c>
      <c r="J2106" s="13">
        <v>0</v>
      </c>
      <c r="K2106" s="14" t="str">
        <f>HYPERLINK("http://twitter.com/download/android","Twitter for Android")</f>
        <v>Twitter for Android</v>
      </c>
      <c r="L2106" s="13">
        <v>18</v>
      </c>
      <c r="M2106" s="13">
        <v>15</v>
      </c>
      <c r="N2106" s="13">
        <v>0</v>
      </c>
      <c r="O2106" s="15"/>
      <c r="P2106" s="6">
        <v>41721.548773148148</v>
      </c>
      <c r="Q2106" s="12"/>
      <c r="R2106" s="19"/>
      <c r="S2106" s="12"/>
      <c r="T2106" s="12"/>
      <c r="U2106" s="18" t="s">
        <v>559</v>
      </c>
    </row>
    <row r="2107" spans="1:21" ht="40.799999999999997">
      <c r="A2107" s="6">
        <v>43424.692986111113</v>
      </c>
      <c r="B2107" s="7" t="str">
        <f>HYPERLINK("https://twitter.com/PdeSamos","@PdeSamos")</f>
        <v>@PdeSamos</v>
      </c>
      <c r="C2107" s="8" t="s">
        <v>1574</v>
      </c>
      <c r="D2107" s="9" t="s">
        <v>7445</v>
      </c>
      <c r="E2107" s="10" t="str">
        <f>HYPERLINK("https://twitter.com/PdeSamos/status/1064905684385480705","1064905684385480705")</f>
        <v>1064905684385480705</v>
      </c>
      <c r="F2107" s="11" t="s">
        <v>7446</v>
      </c>
      <c r="G2107" s="12"/>
      <c r="H2107" s="12"/>
      <c r="I2107" s="13">
        <v>0</v>
      </c>
      <c r="J2107" s="13">
        <v>0</v>
      </c>
      <c r="K2107" s="14" t="str">
        <f>HYPERLINK("http://republico.ddns.net","App Libertad PdeSamos")</f>
        <v>App Libertad PdeSamos</v>
      </c>
      <c r="L2107" s="13">
        <v>5284</v>
      </c>
      <c r="M2107" s="13">
        <v>5302</v>
      </c>
      <c r="N2107" s="13">
        <v>12</v>
      </c>
      <c r="O2107" s="15"/>
      <c r="P2107" s="6">
        <v>42889.820567129631</v>
      </c>
      <c r="Q2107" s="16" t="s">
        <v>1579</v>
      </c>
      <c r="R2107" s="17" t="s">
        <v>1580</v>
      </c>
      <c r="S2107" s="12"/>
      <c r="T2107" s="12"/>
      <c r="U2107" s="10" t="str">
        <f>HYPERLINK("https://pbs.twimg.com/profile_images/871063742003511296/xK2IYbrO.jpg","View")</f>
        <v>View</v>
      </c>
    </row>
    <row r="2108" spans="1:21" ht="40.799999999999997">
      <c r="A2108" s="6">
        <v>43424.686331018514</v>
      </c>
      <c r="B2108" s="7" t="str">
        <f>HYPERLINK("https://twitter.com/Tonicanto1","@Tonicanto1")</f>
        <v>@Tonicanto1</v>
      </c>
      <c r="C2108" s="8" t="s">
        <v>2575</v>
      </c>
      <c r="D2108" s="9" t="s">
        <v>4899</v>
      </c>
      <c r="E2108" s="10" t="str">
        <f>HYPERLINK("https://twitter.com/Tonicanto1/status/1064903271956037632","1064903271956037632")</f>
        <v>1064903271956037632</v>
      </c>
      <c r="F2108" s="11" t="s">
        <v>7447</v>
      </c>
      <c r="G2108" s="12"/>
      <c r="H2108" s="12"/>
      <c r="I2108" s="13">
        <v>220</v>
      </c>
      <c r="J2108" s="13">
        <v>582</v>
      </c>
      <c r="K2108" s="14" t="str">
        <f t="shared" ref="K2108:K2109" si="443">HYPERLINK("http://twitter.com/download/iphone","Twitter for iPhone")</f>
        <v>Twitter for iPhone</v>
      </c>
      <c r="L2108" s="13">
        <v>222026</v>
      </c>
      <c r="M2108" s="13">
        <v>2349</v>
      </c>
      <c r="N2108" s="13">
        <v>2476</v>
      </c>
      <c r="O2108" s="18" t="s">
        <v>36</v>
      </c>
      <c r="P2108" s="6">
        <v>40582.553437499999</v>
      </c>
      <c r="Q2108" s="12"/>
      <c r="R2108" s="17" t="s">
        <v>2579</v>
      </c>
      <c r="S2108" s="12"/>
      <c r="T2108" s="12"/>
      <c r="U2108" s="10" t="str">
        <f>HYPERLINK("https://pbs.twimg.com/profile_images/810553492003844096/yhXB9xXt.jpg","View")</f>
        <v>View</v>
      </c>
    </row>
    <row r="2109" spans="1:21" ht="30.6">
      <c r="A2109" s="6">
        <v>43424.685949074075</v>
      </c>
      <c r="B2109" s="7" t="str">
        <f>HYPERLINK("https://twitter.com/Albert_Rivera","@Albert_Rivera")</f>
        <v>@Albert_Rivera</v>
      </c>
      <c r="C2109" s="8" t="s">
        <v>389</v>
      </c>
      <c r="D2109" s="9" t="s">
        <v>7448</v>
      </c>
      <c r="E2109" s="10" t="str">
        <f>HYPERLINK("https://twitter.com/Albert_Rivera/status/1064903134936485888","1064903134936485888")</f>
        <v>1064903134936485888</v>
      </c>
      <c r="F2109" s="11" t="s">
        <v>5034</v>
      </c>
      <c r="G2109" s="12"/>
      <c r="H2109" s="12"/>
      <c r="I2109" s="13">
        <v>125</v>
      </c>
      <c r="J2109" s="13">
        <v>274</v>
      </c>
      <c r="K2109" s="14" t="str">
        <f t="shared" si="443"/>
        <v>Twitter for iPhone</v>
      </c>
      <c r="L2109" s="13">
        <v>1071530</v>
      </c>
      <c r="M2109" s="13">
        <v>2545</v>
      </c>
      <c r="N2109" s="13">
        <v>5104</v>
      </c>
      <c r="O2109" s="18" t="s">
        <v>36</v>
      </c>
      <c r="P2109" s="6">
        <v>40205.748171296298</v>
      </c>
      <c r="Q2109" s="16" t="s">
        <v>37</v>
      </c>
      <c r="R2109" s="17" t="s">
        <v>393</v>
      </c>
      <c r="S2109" s="11" t="s">
        <v>394</v>
      </c>
      <c r="T2109" s="12"/>
      <c r="U2109" s="10" t="str">
        <f>HYPERLINK("https://pbs.twimg.com/profile_images/1030708936779988993/RncDM4EZ.jpg","View")</f>
        <v>View</v>
      </c>
    </row>
    <row r="2110" spans="1:21" ht="30.6">
      <c r="A2110" s="6">
        <v>43424.685810185183</v>
      </c>
      <c r="B2110" s="7" t="str">
        <f>HYPERLINK("https://twitter.com/NaranjitoExpres","@NaranjitoExpres")</f>
        <v>@NaranjitoExpres</v>
      </c>
      <c r="C2110" s="8" t="s">
        <v>2637</v>
      </c>
      <c r="D2110" s="9" t="s">
        <v>7449</v>
      </c>
      <c r="E2110" s="10" t="str">
        <f>HYPERLINK("https://twitter.com/NaranjitoExpres/status/1064903082092445696","1064903082092445696")</f>
        <v>1064903082092445696</v>
      </c>
      <c r="F2110" s="11" t="s">
        <v>7450</v>
      </c>
      <c r="G2110" s="12"/>
      <c r="H2110" s="12"/>
      <c r="I2110" s="13">
        <v>0</v>
      </c>
      <c r="J2110" s="13">
        <v>0</v>
      </c>
      <c r="K2110" s="14" t="str">
        <f>HYPERLINK("https://ifttt.com","IFTTT")</f>
        <v>IFTTT</v>
      </c>
      <c r="L2110" s="13">
        <v>1336</v>
      </c>
      <c r="M2110" s="13">
        <v>1186</v>
      </c>
      <c r="N2110" s="13">
        <v>8</v>
      </c>
      <c r="O2110" s="15"/>
      <c r="P2110" s="6">
        <v>42301.67768518519</v>
      </c>
      <c r="Q2110" s="16" t="s">
        <v>118</v>
      </c>
      <c r="R2110" s="17" t="s">
        <v>2643</v>
      </c>
      <c r="S2110" s="11" t="s">
        <v>1880</v>
      </c>
      <c r="T2110" s="12"/>
      <c r="U2110" s="10" t="str">
        <f>HYPERLINK("https://pbs.twimg.com/profile_images/894744160279941120/fVCv-yaU.jpg","View")</f>
        <v>View</v>
      </c>
    </row>
    <row r="2111" spans="1:21" ht="51">
      <c r="A2111" s="6">
        <v>43424.684050925927</v>
      </c>
      <c r="B2111" s="7" t="str">
        <f>HYPERLINK("https://twitter.com/Lual2Bento","@Lual2Bento")</f>
        <v>@Lual2Bento</v>
      </c>
      <c r="C2111" s="8" t="s">
        <v>5255</v>
      </c>
      <c r="D2111" s="9" t="s">
        <v>5256</v>
      </c>
      <c r="E2111" s="10" t="str">
        <f>HYPERLINK("https://twitter.com/Lual2Bento/status/1064902444126216194","1064902444126216194")</f>
        <v>1064902444126216194</v>
      </c>
      <c r="F2111" s="12"/>
      <c r="G2111" s="12"/>
      <c r="H2111" s="12"/>
      <c r="I2111" s="13">
        <v>0</v>
      </c>
      <c r="J2111" s="13">
        <v>0</v>
      </c>
      <c r="K2111" s="14" t="str">
        <f t="shared" ref="K2111:K2112" si="444">HYPERLINK("http://twitter.com/download/android","Twitter for Android")</f>
        <v>Twitter for Android</v>
      </c>
      <c r="L2111" s="13">
        <v>35</v>
      </c>
      <c r="M2111" s="13">
        <v>100</v>
      </c>
      <c r="N2111" s="13">
        <v>0</v>
      </c>
      <c r="O2111" s="15"/>
      <c r="P2111" s="6">
        <v>41038.348020833335</v>
      </c>
      <c r="Q2111" s="16" t="s">
        <v>5257</v>
      </c>
      <c r="R2111" s="19"/>
      <c r="S2111" s="12"/>
      <c r="T2111" s="12"/>
      <c r="U2111" s="10" t="str">
        <f>HYPERLINK("https://pbs.twimg.com/profile_images/705328450790240256/uA8hxwz-.jpg","View")</f>
        <v>View</v>
      </c>
    </row>
    <row r="2112" spans="1:21" ht="20.399999999999999">
      <c r="A2112" s="6">
        <v>43424.68350694445</v>
      </c>
      <c r="B2112" s="7" t="str">
        <f>HYPERLINK("https://twitter.com/dcnGranCanaria","@dcnGranCanaria")</f>
        <v>@dcnGranCanaria</v>
      </c>
      <c r="C2112" s="8" t="s">
        <v>1996</v>
      </c>
      <c r="D2112" s="9" t="s">
        <v>7451</v>
      </c>
      <c r="E2112" s="10" t="str">
        <f>HYPERLINK("https://twitter.com/dcnGranCanaria/status/1064902248688439297","1064902248688439297")</f>
        <v>1064902248688439297</v>
      </c>
      <c r="F2112" s="12"/>
      <c r="G2112" s="11" t="s">
        <v>7452</v>
      </c>
      <c r="H2112" s="12"/>
      <c r="I2112" s="13">
        <v>0</v>
      </c>
      <c r="J2112" s="13">
        <v>1</v>
      </c>
      <c r="K2112" s="14" t="str">
        <f t="shared" si="444"/>
        <v>Twitter for Android</v>
      </c>
      <c r="L2112" s="13">
        <v>249</v>
      </c>
      <c r="M2112" s="13">
        <v>134</v>
      </c>
      <c r="N2112" s="13">
        <v>27</v>
      </c>
      <c r="O2112" s="15"/>
      <c r="P2112" s="6">
        <v>41810.806990740741</v>
      </c>
      <c r="Q2112" s="16" t="s">
        <v>7453</v>
      </c>
      <c r="R2112" s="17" t="s">
        <v>7454</v>
      </c>
      <c r="S2112" s="12"/>
      <c r="T2112" s="12"/>
      <c r="U2112" s="10" t="str">
        <f>HYPERLINK("https://pbs.twimg.com/profile_images/1057575295329464321/7xxC2xpj.jpg","View")</f>
        <v>View</v>
      </c>
    </row>
    <row r="2113" spans="1:21" ht="40.799999999999997">
      <c r="A2113" s="6">
        <v>43424.68268518518</v>
      </c>
      <c r="B2113" s="7" t="str">
        <f>HYPERLINK("https://twitter.com/CiudadanosCs","@CiudadanosCs")</f>
        <v>@CiudadanosCs</v>
      </c>
      <c r="C2113" s="8" t="s">
        <v>196</v>
      </c>
      <c r="D2113" s="9" t="s">
        <v>5258</v>
      </c>
      <c r="E2113" s="10" t="str">
        <f>HYPERLINK("https://twitter.com/CiudadanosCs/status/1064901950054023168","1064901950054023168")</f>
        <v>1064901950054023168</v>
      </c>
      <c r="F2113" s="11" t="s">
        <v>3742</v>
      </c>
      <c r="G2113" s="11" t="s">
        <v>5261</v>
      </c>
      <c r="H2113" s="12"/>
      <c r="I2113" s="13">
        <v>39</v>
      </c>
      <c r="J2113" s="13">
        <v>53</v>
      </c>
      <c r="K2113" s="14" t="str">
        <f>HYPERLINK("http://twitter.com","Twitter Web Client")</f>
        <v>Twitter Web Client</v>
      </c>
      <c r="L2113" s="13">
        <v>486503</v>
      </c>
      <c r="M2113" s="13">
        <v>93653</v>
      </c>
      <c r="N2113" s="13">
        <v>3318</v>
      </c>
      <c r="O2113" s="18" t="s">
        <v>36</v>
      </c>
      <c r="P2113" s="6">
        <v>39828.753460648149</v>
      </c>
      <c r="Q2113" s="16" t="s">
        <v>37</v>
      </c>
      <c r="R2113" s="17" t="s">
        <v>202</v>
      </c>
      <c r="S2113" s="11" t="s">
        <v>203</v>
      </c>
      <c r="T2113" s="12"/>
      <c r="U2113" s="10" t="str">
        <f>HYPERLINK("https://pbs.twimg.com/profile_images/1053554096161075200/1z77_zBZ.jpg","View")</f>
        <v>View</v>
      </c>
    </row>
    <row r="2114" spans="1:21" ht="40.799999999999997">
      <c r="A2114" s="6">
        <v>43424.675023148149</v>
      </c>
      <c r="B2114" s="7" t="str">
        <f>HYPERLINK("https://twitter.com/VicenteTen","@VicenteTen")</f>
        <v>@VicenteTen</v>
      </c>
      <c r="C2114" s="8" t="s">
        <v>1486</v>
      </c>
      <c r="D2114" s="9" t="s">
        <v>5265</v>
      </c>
      <c r="E2114" s="10" t="str">
        <f>HYPERLINK("https://twitter.com/VicenteTen/status/1064899171830906886","1064899171830906886")</f>
        <v>1064899171830906886</v>
      </c>
      <c r="F2114" s="11" t="s">
        <v>5034</v>
      </c>
      <c r="G2114" s="12"/>
      <c r="H2114" s="12"/>
      <c r="I2114" s="13">
        <v>2</v>
      </c>
      <c r="J2114" s="13">
        <v>8</v>
      </c>
      <c r="K2114" s="14" t="str">
        <f>HYPERLINK("http://twitter.com/download/iphone","Twitter for iPhone")</f>
        <v>Twitter for iPhone</v>
      </c>
      <c r="L2114" s="13">
        <v>4271</v>
      </c>
      <c r="M2114" s="13">
        <v>667</v>
      </c>
      <c r="N2114" s="13">
        <v>84</v>
      </c>
      <c r="O2114" s="18" t="s">
        <v>36</v>
      </c>
      <c r="P2114" s="6">
        <v>42015.502372685187</v>
      </c>
      <c r="Q2114" s="16" t="s">
        <v>263</v>
      </c>
      <c r="R2114" s="17" t="s">
        <v>1491</v>
      </c>
      <c r="S2114" s="11" t="s">
        <v>1492</v>
      </c>
      <c r="T2114" s="12"/>
      <c r="U2114" s="10" t="str">
        <f>HYPERLINK("https://pbs.twimg.com/profile_images/832244632637546496/d-StdO3m.jpg","View")</f>
        <v>View</v>
      </c>
    </row>
    <row r="2115" spans="1:21" ht="40.799999999999997">
      <c r="A2115" s="6">
        <v>43424.674131944441</v>
      </c>
      <c r="B2115" s="7" t="str">
        <f>HYPERLINK("https://twitter.com/jifgif","@jifgif")</f>
        <v>@jifgif</v>
      </c>
      <c r="C2115" s="8" t="s">
        <v>4248</v>
      </c>
      <c r="D2115" s="9" t="s">
        <v>7455</v>
      </c>
      <c r="E2115" s="10" t="str">
        <f>HYPERLINK("https://twitter.com/jifgif/status/1064898848743718912","1064898848743718912")</f>
        <v>1064898848743718912</v>
      </c>
      <c r="F2115" s="12"/>
      <c r="G2115" s="12"/>
      <c r="H2115" s="12"/>
      <c r="I2115" s="13">
        <v>0</v>
      </c>
      <c r="J2115" s="13">
        <v>2</v>
      </c>
      <c r="K2115" s="14" t="str">
        <f>HYPERLINK("http://twitter.com/download/android","Twitter for Android")</f>
        <v>Twitter for Android</v>
      </c>
      <c r="L2115" s="13">
        <v>346</v>
      </c>
      <c r="M2115" s="13">
        <v>457</v>
      </c>
      <c r="N2115" s="13">
        <v>4</v>
      </c>
      <c r="O2115" s="15"/>
      <c r="P2115" s="6">
        <v>39444.099016203705</v>
      </c>
      <c r="Q2115" s="12"/>
      <c r="R2115" s="17" t="s">
        <v>4251</v>
      </c>
      <c r="S2115" s="12"/>
      <c r="T2115" s="12"/>
      <c r="U2115" s="10" t="str">
        <f>HYPERLINK("https://pbs.twimg.com/profile_images/521945606533971968/98PMVfg9.jpeg","View")</f>
        <v>View</v>
      </c>
    </row>
    <row r="2116" spans="1:21" ht="20.399999999999999">
      <c r="A2116" s="6">
        <v>43424.67359953704</v>
      </c>
      <c r="B2116" s="7" t="str">
        <f>HYPERLINK("https://twitter.com/GirautaOficial","@GirautaOficial")</f>
        <v>@GirautaOficial</v>
      </c>
      <c r="C2116" s="8" t="s">
        <v>2455</v>
      </c>
      <c r="D2116" s="9" t="s">
        <v>5033</v>
      </c>
      <c r="E2116" s="10" t="str">
        <f>HYPERLINK("https://twitter.com/GirautaOficial/status/1064898656065728519","1064898656065728519")</f>
        <v>1064898656065728519</v>
      </c>
      <c r="F2116" s="11" t="s">
        <v>5034</v>
      </c>
      <c r="G2116" s="12"/>
      <c r="H2116" s="12"/>
      <c r="I2116" s="13">
        <v>152</v>
      </c>
      <c r="J2116" s="13">
        <v>371</v>
      </c>
      <c r="K2116" s="14" t="str">
        <f>HYPERLINK("http://twitter.com/download/iphone","Twitter for iPhone")</f>
        <v>Twitter for iPhone</v>
      </c>
      <c r="L2116" s="13">
        <v>86776</v>
      </c>
      <c r="M2116" s="13">
        <v>2003</v>
      </c>
      <c r="N2116" s="13">
        <v>990</v>
      </c>
      <c r="O2116" s="18" t="s">
        <v>36</v>
      </c>
      <c r="P2116" s="6">
        <v>41621.818124999998</v>
      </c>
      <c r="Q2116" s="12"/>
      <c r="R2116" s="17" t="s">
        <v>2459</v>
      </c>
      <c r="S2116" s="11" t="s">
        <v>473</v>
      </c>
      <c r="T2116" s="12"/>
      <c r="U2116" s="10" t="str">
        <f>HYPERLINK("https://pbs.twimg.com/profile_images/820734017595207680/I1pC-01n.jpg","View")</f>
        <v>View</v>
      </c>
    </row>
    <row r="2117" spans="1:21" ht="51">
      <c r="A2117" s="6">
        <v>43424.670335648145</v>
      </c>
      <c r="B2117" s="7" t="str">
        <f>HYPERLINK("https://twitter.com/VotaCiudadanos","@VotaCiudadanos")</f>
        <v>@VotaCiudadanos</v>
      </c>
      <c r="C2117" s="8" t="s">
        <v>1629</v>
      </c>
      <c r="D2117" s="9" t="s">
        <v>5271</v>
      </c>
      <c r="E2117" s="10" t="str">
        <f>HYPERLINK("https://twitter.com/VotaCiudadanos/status/1064897474358325248","1064897474358325248")</f>
        <v>1064897474358325248</v>
      </c>
      <c r="F2117" s="11" t="s">
        <v>3742</v>
      </c>
      <c r="G2117" s="11" t="s">
        <v>5272</v>
      </c>
      <c r="H2117" s="12"/>
      <c r="I2117" s="13">
        <v>8</v>
      </c>
      <c r="J2117" s="13">
        <v>5</v>
      </c>
      <c r="K2117" s="14" t="str">
        <f>HYPERLINK("http://twitter.com","Twitter Web Client")</f>
        <v>Twitter Web Client</v>
      </c>
      <c r="L2117" s="13">
        <v>1870</v>
      </c>
      <c r="M2117" s="13">
        <v>198</v>
      </c>
      <c r="N2117" s="13">
        <v>26</v>
      </c>
      <c r="O2117" s="15"/>
      <c r="P2117" s="6">
        <v>42318.889432870375</v>
      </c>
      <c r="Q2117" s="16" t="s">
        <v>1635</v>
      </c>
      <c r="R2117" s="17" t="s">
        <v>1636</v>
      </c>
      <c r="S2117" s="11" t="s">
        <v>473</v>
      </c>
      <c r="T2117" s="12"/>
      <c r="U2117" s="10" t="str">
        <f>HYPERLINK("https://pbs.twimg.com/profile_images/948620265965215745/eZupLWK2.jpg","View")</f>
        <v>View</v>
      </c>
    </row>
    <row r="2118" spans="1:21" ht="51">
      <c r="A2118" s="6">
        <v>43424.66805555555</v>
      </c>
      <c r="B2118" s="7" t="str">
        <f>HYPERLINK("https://twitter.com/bitMomentum","@bitMomentum")</f>
        <v>@bitMomentum</v>
      </c>
      <c r="C2118" s="8" t="s">
        <v>706</v>
      </c>
      <c r="D2118" s="9" t="s">
        <v>5275</v>
      </c>
      <c r="E2118" s="10" t="str">
        <f>HYPERLINK("https://twitter.com/bitMomentum/status/1064896646956371968","1064896646956371968")</f>
        <v>1064896646956371968</v>
      </c>
      <c r="F2118" s="12"/>
      <c r="G2118" s="12"/>
      <c r="H2118" s="12"/>
      <c r="I2118" s="13">
        <v>0</v>
      </c>
      <c r="J2118" s="13">
        <v>0</v>
      </c>
      <c r="K2118" s="14" t="str">
        <f>HYPERLINK("http://www.bitmomentum.com","bitMomentum Bot")</f>
        <v>bitMomentum Bot</v>
      </c>
      <c r="L2118" s="13">
        <v>10132</v>
      </c>
      <c r="M2118" s="13">
        <v>1060</v>
      </c>
      <c r="N2118" s="13">
        <v>262</v>
      </c>
      <c r="O2118" s="15"/>
      <c r="P2118" s="6">
        <v>41608.667511574073</v>
      </c>
      <c r="Q2118" s="12"/>
      <c r="R2118" s="17" t="s">
        <v>708</v>
      </c>
      <c r="S2118" s="11" t="s">
        <v>709</v>
      </c>
      <c r="T2118" s="12"/>
      <c r="U2118" s="10" t="str">
        <f>HYPERLINK("https://pbs.twimg.com/profile_images/378800000862185241/20ij2H3u.png","View")</f>
        <v>View</v>
      </c>
    </row>
    <row r="2119" spans="1:21" ht="71.400000000000006">
      <c r="A2119" s="6">
        <v>43424.663958333331</v>
      </c>
      <c r="B2119" s="7" t="str">
        <f>HYPERLINK("https://twitter.com/mariaCsCambre","@mariaCsCambre")</f>
        <v>@mariaCsCambre</v>
      </c>
      <c r="C2119" s="8" t="s">
        <v>5277</v>
      </c>
      <c r="D2119" s="9" t="s">
        <v>5278</v>
      </c>
      <c r="E2119" s="10" t="str">
        <f>HYPERLINK("https://twitter.com/mariaCsCambre/status/1064895164467027968","1064895164467027968")</f>
        <v>1064895164467027968</v>
      </c>
      <c r="F2119" s="11" t="s">
        <v>5279</v>
      </c>
      <c r="G2119" s="11" t="s">
        <v>5280</v>
      </c>
      <c r="H2119" s="12"/>
      <c r="I2119" s="13">
        <v>19</v>
      </c>
      <c r="J2119" s="13">
        <v>18</v>
      </c>
      <c r="K2119" s="14" t="str">
        <f>HYPERLINK("http://twitter.com/download/iphone","Twitter for iPhone")</f>
        <v>Twitter for iPhone</v>
      </c>
      <c r="L2119" s="13">
        <v>805</v>
      </c>
      <c r="M2119" s="13">
        <v>943</v>
      </c>
      <c r="N2119" s="13">
        <v>6</v>
      </c>
      <c r="O2119" s="15"/>
      <c r="P2119" s="6">
        <v>40481.658078703702</v>
      </c>
      <c r="Q2119" s="16" t="s">
        <v>5281</v>
      </c>
      <c r="R2119" s="17" t="s">
        <v>5282</v>
      </c>
      <c r="S2119" s="12"/>
      <c r="T2119" s="12"/>
      <c r="U2119" s="10" t="str">
        <f>HYPERLINK("https://pbs.twimg.com/profile_images/1010419974580645890/jjmBBCkd.jpg","View")</f>
        <v>View</v>
      </c>
    </row>
    <row r="2120" spans="1:21" ht="51">
      <c r="A2120" s="6">
        <v>43424.663506944446</v>
      </c>
      <c r="B2120" s="7" t="str">
        <f>HYPERLINK("https://twitter.com/NoiseWithMusic","@NoiseWithMusic")</f>
        <v>@NoiseWithMusic</v>
      </c>
      <c r="C2120" s="8" t="s">
        <v>7456</v>
      </c>
      <c r="D2120" s="9" t="s">
        <v>7457</v>
      </c>
      <c r="E2120" s="10" t="str">
        <f>HYPERLINK("https://twitter.com/NoiseWithMusic/status/1064894998389370883","1064894998389370883")</f>
        <v>1064894998389370883</v>
      </c>
      <c r="F2120" s="12"/>
      <c r="G2120" s="12"/>
      <c r="H2120" s="12"/>
      <c r="I2120" s="13">
        <v>0</v>
      </c>
      <c r="J2120" s="13">
        <v>1</v>
      </c>
      <c r="K2120" s="14" t="str">
        <f>HYPERLINK("http://twitter.com/download/android","Twitter for Android")</f>
        <v>Twitter for Android</v>
      </c>
      <c r="L2120" s="13">
        <v>190</v>
      </c>
      <c r="M2120" s="13">
        <v>474</v>
      </c>
      <c r="N2120" s="13">
        <v>2</v>
      </c>
      <c r="O2120" s="15"/>
      <c r="P2120" s="6">
        <v>40899.811944444446</v>
      </c>
      <c r="Q2120" s="16" t="s">
        <v>7458</v>
      </c>
      <c r="R2120" s="17" t="s">
        <v>7459</v>
      </c>
      <c r="S2120" s="11" t="s">
        <v>7460</v>
      </c>
      <c r="T2120" s="12"/>
      <c r="U2120" s="10" t="str">
        <f>HYPERLINK("https://pbs.twimg.com/profile_images/1058822365033963520/GBX4hdL8.jpg","View")</f>
        <v>View</v>
      </c>
    </row>
    <row r="2121" spans="1:21" ht="40.799999999999997">
      <c r="A2121" s="6">
        <v>43424.662986111114</v>
      </c>
      <c r="B2121" s="7" t="str">
        <f>HYPERLINK("https://twitter.com/buen_ppero","@buen_ppero")</f>
        <v>@buen_ppero</v>
      </c>
      <c r="C2121" s="8" t="s">
        <v>3755</v>
      </c>
      <c r="D2121" s="9" t="s">
        <v>5285</v>
      </c>
      <c r="E2121" s="10" t="str">
        <f>HYPERLINK("https://twitter.com/buen_ppero/status/1064894810732019714","1064894810732019714")</f>
        <v>1064894810732019714</v>
      </c>
      <c r="F2121" s="12"/>
      <c r="G2121" s="12"/>
      <c r="H2121" s="12"/>
      <c r="I2121" s="13">
        <v>0</v>
      </c>
      <c r="J2121" s="13">
        <v>0</v>
      </c>
      <c r="K2121" s="14" t="str">
        <f>HYPERLINK("http://twitter.com/download/iphone","Twitter for iPhone")</f>
        <v>Twitter for iPhone</v>
      </c>
      <c r="L2121" s="13">
        <v>24</v>
      </c>
      <c r="M2121" s="13">
        <v>100</v>
      </c>
      <c r="N2121" s="13">
        <v>1</v>
      </c>
      <c r="O2121" s="15"/>
      <c r="P2121" s="6">
        <v>42707.003368055557</v>
      </c>
      <c r="Q2121" s="16" t="s">
        <v>118</v>
      </c>
      <c r="R2121" s="17" t="s">
        <v>3757</v>
      </c>
      <c r="S2121" s="12"/>
      <c r="T2121" s="12"/>
      <c r="U2121" s="10" t="str">
        <f>HYPERLINK("https://pbs.twimg.com/profile_images/804826205363011588/_nTm3teb.jpg","View")</f>
        <v>View</v>
      </c>
    </row>
    <row r="2122" spans="1:21" ht="51">
      <c r="A2122" s="6">
        <v>43424.662395833337</v>
      </c>
      <c r="B2122" s="7" t="str">
        <f>HYPERLINK("https://twitter.com/RuthIliana46","@RuthIliana46")</f>
        <v>@RuthIliana46</v>
      </c>
      <c r="C2122" s="8" t="s">
        <v>437</v>
      </c>
      <c r="D2122" s="9" t="s">
        <v>5288</v>
      </c>
      <c r="E2122" s="10" t="str">
        <f>HYPERLINK("https://twitter.com/RuthIliana46/status/1064894598546362369","1064894598546362369")</f>
        <v>1064894598546362369</v>
      </c>
      <c r="F2122" s="12"/>
      <c r="G2122" s="11" t="s">
        <v>5289</v>
      </c>
      <c r="H2122" s="12"/>
      <c r="I2122" s="13">
        <v>6</v>
      </c>
      <c r="J2122" s="13">
        <v>6</v>
      </c>
      <c r="K2122" s="14" t="str">
        <f t="shared" ref="K2122:K2123" si="445">HYPERLINK("http://twitter.com/download/android","Twitter for Android")</f>
        <v>Twitter for Android</v>
      </c>
      <c r="L2122" s="13">
        <v>4287</v>
      </c>
      <c r="M2122" s="13">
        <v>4178</v>
      </c>
      <c r="N2122" s="13">
        <v>483</v>
      </c>
      <c r="O2122" s="15"/>
      <c r="P2122" s="6">
        <v>41235.80333333333</v>
      </c>
      <c r="Q2122" s="16" t="s">
        <v>440</v>
      </c>
      <c r="R2122" s="17" t="s">
        <v>441</v>
      </c>
      <c r="S2122" s="11" t="s">
        <v>442</v>
      </c>
      <c r="T2122" s="12"/>
      <c r="U2122" s="10" t="str">
        <f>HYPERLINK("https://pbs.twimg.com/profile_images/976118533162721287/GaSph7A7.jpg","View")</f>
        <v>View</v>
      </c>
    </row>
    <row r="2123" spans="1:21" ht="20.399999999999999">
      <c r="A2123" s="6">
        <v>43424.662303240737</v>
      </c>
      <c r="B2123" s="7" t="str">
        <f>HYPERLINK("https://twitter.com/unaokupadelbdm","@unaokupadelbdm")</f>
        <v>@unaokupadelbdm</v>
      </c>
      <c r="C2123" s="8" t="s">
        <v>7461</v>
      </c>
      <c r="D2123" s="9" t="s">
        <v>7462</v>
      </c>
      <c r="E2123" s="10" t="str">
        <f>HYPERLINK("https://twitter.com/unaokupadelbdm/status/1064894563242962945","1064894563242962945")</f>
        <v>1064894563242962945</v>
      </c>
      <c r="F2123" s="12"/>
      <c r="G2123" s="12"/>
      <c r="H2123" s="12"/>
      <c r="I2123" s="13">
        <v>0</v>
      </c>
      <c r="J2123" s="13">
        <v>0</v>
      </c>
      <c r="K2123" s="14" t="str">
        <f t="shared" si="445"/>
        <v>Twitter for Android</v>
      </c>
      <c r="L2123" s="13">
        <v>143</v>
      </c>
      <c r="M2123" s="13">
        <v>311</v>
      </c>
      <c r="N2123" s="13">
        <v>11</v>
      </c>
      <c r="O2123" s="15"/>
      <c r="P2123" s="6">
        <v>41015.809270833335</v>
      </c>
      <c r="Q2123" s="16" t="s">
        <v>3045</v>
      </c>
      <c r="R2123" s="17" t="s">
        <v>7463</v>
      </c>
      <c r="S2123" s="12"/>
      <c r="T2123" s="12"/>
      <c r="U2123" s="10" t="str">
        <f>HYPERLINK("https://pbs.twimg.com/profile_images/988007512757751808/0k9RpCAf.jpg","View")</f>
        <v>View</v>
      </c>
    </row>
    <row r="2124" spans="1:21" ht="40.799999999999997">
      <c r="A2124" s="6">
        <v>43424.661793981482</v>
      </c>
      <c r="B2124" s="7" t="str">
        <f>HYPERLINK("https://twitter.com/surf_aruma","@surf_aruma")</f>
        <v>@surf_aruma</v>
      </c>
      <c r="C2124" s="8" t="s">
        <v>5293</v>
      </c>
      <c r="D2124" s="9" t="s">
        <v>5294</v>
      </c>
      <c r="E2124" s="10" t="str">
        <f>HYPERLINK("https://twitter.com/surf_aruma/status/1064894378802667524","1064894378802667524")</f>
        <v>1064894378802667524</v>
      </c>
      <c r="F2124" s="12"/>
      <c r="G2124" s="12"/>
      <c r="H2124" s="12"/>
      <c r="I2124" s="13">
        <v>2</v>
      </c>
      <c r="J2124" s="13">
        <v>0</v>
      </c>
      <c r="K2124" s="14" t="str">
        <f>HYPERLINK("http://twitter.com/download/iphone","Twitter for iPhone")</f>
        <v>Twitter for iPhone</v>
      </c>
      <c r="L2124" s="13">
        <v>158</v>
      </c>
      <c r="M2124" s="13">
        <v>291</v>
      </c>
      <c r="N2124" s="13">
        <v>1</v>
      </c>
      <c r="O2124" s="15"/>
      <c r="P2124" s="6">
        <v>42367.940416666665</v>
      </c>
      <c r="Q2124" s="12"/>
      <c r="R2124" s="17" t="s">
        <v>5297</v>
      </c>
      <c r="S2124" s="12"/>
      <c r="T2124" s="12"/>
      <c r="U2124" s="10" t="str">
        <f>HYPERLINK("https://pbs.twimg.com/profile_images/1065628230915362817/d0JHdj2t.jpg","View")</f>
        <v>View</v>
      </c>
    </row>
    <row r="2125" spans="1:21" ht="30.6">
      <c r="A2125" s="6">
        <v>43424.66128472222</v>
      </c>
      <c r="B2125" s="7" t="str">
        <f>HYPERLINK("https://twitter.com/V_de_Vocatta","@V_de_Vocatta")</f>
        <v>@V_de_Vocatta</v>
      </c>
      <c r="C2125" s="8" t="s">
        <v>7464</v>
      </c>
      <c r="D2125" s="9" t="s">
        <v>7465</v>
      </c>
      <c r="E2125" s="10" t="str">
        <f>HYPERLINK("https://twitter.com/V_de_Vocatta/status/1064894193594699776","1064894193594699776")</f>
        <v>1064894193594699776</v>
      </c>
      <c r="F2125" s="12"/>
      <c r="G2125" s="12"/>
      <c r="H2125" s="12"/>
      <c r="I2125" s="13">
        <v>0</v>
      </c>
      <c r="J2125" s="13">
        <v>0</v>
      </c>
      <c r="K2125" s="14" t="str">
        <f>HYPERLINK("http://twitter.com/download/android","Twitter for Android")</f>
        <v>Twitter for Android</v>
      </c>
      <c r="L2125" s="13">
        <v>24</v>
      </c>
      <c r="M2125" s="13">
        <v>50</v>
      </c>
      <c r="N2125" s="13">
        <v>1</v>
      </c>
      <c r="O2125" s="15"/>
      <c r="P2125" s="6">
        <v>42613.577233796299</v>
      </c>
      <c r="Q2125" s="16" t="s">
        <v>6602</v>
      </c>
      <c r="R2125" s="17" t="s">
        <v>7466</v>
      </c>
      <c r="S2125" s="12"/>
      <c r="T2125" s="12"/>
      <c r="U2125" s="10" t="str">
        <f>HYPERLINK("https://pbs.twimg.com/profile_images/770953556476256256/kQad8Eon.jpg","View")</f>
        <v>View</v>
      </c>
    </row>
    <row r="2126" spans="1:21" ht="71.400000000000006">
      <c r="A2126" s="6">
        <v>43424.660856481481</v>
      </c>
      <c r="B2126" s="7" t="str">
        <f>HYPERLINK("https://twitter.com/NeroPaddilla","@NeroPaddilla")</f>
        <v>@NeroPaddilla</v>
      </c>
      <c r="C2126" s="8" t="s">
        <v>795</v>
      </c>
      <c r="D2126" s="9" t="s">
        <v>5298</v>
      </c>
      <c r="E2126" s="10" t="str">
        <f>HYPERLINK("https://twitter.com/NeroPaddilla/status/1064894041656123392","1064894041656123392")</f>
        <v>1064894041656123392</v>
      </c>
      <c r="F2126" s="16" t="s">
        <v>5299</v>
      </c>
      <c r="G2126" s="12"/>
      <c r="H2126" s="12"/>
      <c r="I2126" s="13">
        <v>0</v>
      </c>
      <c r="J2126" s="13">
        <v>0</v>
      </c>
      <c r="K2126" s="14" t="str">
        <f>HYPERLINK("http://twitter.com","Twitter Web Client")</f>
        <v>Twitter Web Client</v>
      </c>
      <c r="L2126" s="13">
        <v>530</v>
      </c>
      <c r="M2126" s="13">
        <v>1145</v>
      </c>
      <c r="N2126" s="13">
        <v>0</v>
      </c>
      <c r="O2126" s="15"/>
      <c r="P2126" s="6">
        <v>43177.728159722217</v>
      </c>
      <c r="Q2126" s="12"/>
      <c r="R2126" s="19"/>
      <c r="S2126" s="12"/>
      <c r="T2126" s="12"/>
      <c r="U2126" s="10" t="str">
        <f>HYPERLINK("https://pbs.twimg.com/profile_images/975414123369500672/1Q9skH_w.jpg","View")</f>
        <v>View</v>
      </c>
    </row>
    <row r="2127" spans="1:21" ht="30.6">
      <c r="A2127" s="6">
        <v>43424.659583333334</v>
      </c>
      <c r="B2127" s="7" t="str">
        <f>HYPERLINK("https://twitter.com/jesusdelacruzol","@jesusdelacruzol")</f>
        <v>@jesusdelacruzol</v>
      </c>
      <c r="C2127" s="8" t="s">
        <v>5719</v>
      </c>
      <c r="D2127" s="9" t="s">
        <v>5033</v>
      </c>
      <c r="E2127" s="10" t="str">
        <f>HYPERLINK("https://twitter.com/jesusdelacruzol/status/1064893577711493121","1064893577711493121")</f>
        <v>1064893577711493121</v>
      </c>
      <c r="F2127" s="11" t="s">
        <v>5034</v>
      </c>
      <c r="G2127" s="12"/>
      <c r="H2127" s="12"/>
      <c r="I2127" s="13">
        <v>5</v>
      </c>
      <c r="J2127" s="13">
        <v>2</v>
      </c>
      <c r="K2127" s="14" t="str">
        <f>HYPERLINK("http://www.facebook.com/twitter","Facebook")</f>
        <v>Facebook</v>
      </c>
      <c r="L2127" s="13">
        <v>13800</v>
      </c>
      <c r="M2127" s="13">
        <v>13454</v>
      </c>
      <c r="N2127" s="13">
        <v>144</v>
      </c>
      <c r="O2127" s="15"/>
      <c r="P2127" s="6">
        <v>40536.972824074073</v>
      </c>
      <c r="Q2127" s="16" t="s">
        <v>5725</v>
      </c>
      <c r="R2127" s="17" t="s">
        <v>5726</v>
      </c>
      <c r="S2127" s="11" t="s">
        <v>5727</v>
      </c>
      <c r="T2127" s="12"/>
      <c r="U2127" s="10" t="str">
        <f>HYPERLINK("https://pbs.twimg.com/profile_images/783773267014418433/ngnl4DZI.jpg","View")</f>
        <v>View</v>
      </c>
    </row>
    <row r="2128" spans="1:21" ht="20.399999999999999">
      <c r="A2128" s="6">
        <v>43424.657476851848</v>
      </c>
      <c r="B2128" s="7" t="str">
        <f>HYPERLINK("https://twitter.com/sedlr_","@sedlr_")</f>
        <v>@sedlr_</v>
      </c>
      <c r="C2128" s="8" t="s">
        <v>1423</v>
      </c>
      <c r="D2128" s="9" t="s">
        <v>7467</v>
      </c>
      <c r="E2128" s="10" t="str">
        <f>HYPERLINK("https://twitter.com/sedlr_/status/1064892812934750215","1064892812934750215")</f>
        <v>1064892812934750215</v>
      </c>
      <c r="F2128" s="12"/>
      <c r="G2128" s="12"/>
      <c r="H2128" s="12"/>
      <c r="I2128" s="13">
        <v>1</v>
      </c>
      <c r="J2128" s="13">
        <v>4</v>
      </c>
      <c r="K2128" s="14" t="str">
        <f t="shared" ref="K2128:K2129" si="446">HYPERLINK("http://twitter.com/download/android","Twitter for Android")</f>
        <v>Twitter for Android</v>
      </c>
      <c r="L2128" s="13">
        <v>7672</v>
      </c>
      <c r="M2128" s="13">
        <v>7330</v>
      </c>
      <c r="N2128" s="13">
        <v>33</v>
      </c>
      <c r="O2128" s="15"/>
      <c r="P2128" s="6">
        <v>41250.693912037037</v>
      </c>
      <c r="Q2128" s="16" t="s">
        <v>759</v>
      </c>
      <c r="R2128" s="19"/>
      <c r="S2128" s="12"/>
      <c r="T2128" s="12"/>
      <c r="U2128" s="10" t="str">
        <f>HYPERLINK("https://pbs.twimg.com/profile_images/1026984752270782464/dquFa8_K.jpg","View")</f>
        <v>View</v>
      </c>
    </row>
    <row r="2129" spans="1:21" ht="51">
      <c r="A2129" s="6">
        <v>43424.656585648147</v>
      </c>
      <c r="B2129" s="7" t="str">
        <f>HYPERLINK("https://twitter.com/Dm298565026","@Dm298565026")</f>
        <v>@Dm298565026</v>
      </c>
      <c r="C2129" s="8" t="s">
        <v>5301</v>
      </c>
      <c r="D2129" s="9" t="s">
        <v>5302</v>
      </c>
      <c r="E2129" s="10" t="str">
        <f>HYPERLINK("https://twitter.com/Dm298565026/status/1064892493525852162","1064892493525852162")</f>
        <v>1064892493525852162</v>
      </c>
      <c r="F2129" s="12"/>
      <c r="G2129" s="12"/>
      <c r="H2129" s="12"/>
      <c r="I2129" s="13">
        <v>0</v>
      </c>
      <c r="J2129" s="13">
        <v>0</v>
      </c>
      <c r="K2129" s="14" t="str">
        <f t="shared" si="446"/>
        <v>Twitter for Android</v>
      </c>
      <c r="L2129" s="13">
        <v>8</v>
      </c>
      <c r="M2129" s="13">
        <v>71</v>
      </c>
      <c r="N2129" s="13">
        <v>0</v>
      </c>
      <c r="O2129" s="15"/>
      <c r="P2129" s="6">
        <v>43394.008356481485</v>
      </c>
      <c r="Q2129" s="12"/>
      <c r="R2129" s="19"/>
      <c r="S2129" s="12"/>
      <c r="T2129" s="12"/>
      <c r="U2129" s="10" t="str">
        <f>HYPERLINK("https://pbs.twimg.com/profile_images/1053790730609721344/82TaTaHT.jpg","View")</f>
        <v>View</v>
      </c>
    </row>
    <row r="2130" spans="1:21" ht="20.399999999999999">
      <c r="A2130" s="6">
        <v>43424.650960648149</v>
      </c>
      <c r="B2130" s="7" t="str">
        <f>HYPERLINK("https://twitter.com/negativo_stats","@negativo_stats")</f>
        <v>@negativo_stats</v>
      </c>
      <c r="C2130" s="8" t="s">
        <v>114</v>
      </c>
      <c r="D2130" s="9" t="s">
        <v>115</v>
      </c>
      <c r="E2130" s="10" t="str">
        <f>HYPERLINK("https://twitter.com/negativo_stats/status/1064890453852602370","1064890453852602370")</f>
        <v>1064890453852602370</v>
      </c>
      <c r="F2130" s="12"/>
      <c r="G2130" s="11" t="s">
        <v>5303</v>
      </c>
      <c r="H2130" s="12"/>
      <c r="I2130" s="13">
        <v>0</v>
      </c>
      <c r="J2130" s="13">
        <v>0</v>
      </c>
      <c r="K2130" s="14" t="str">
        <f>HYPERLINK("http://kosmonautica.es","Política Negativa")</f>
        <v>Política Negativa</v>
      </c>
      <c r="L2130" s="13">
        <v>256</v>
      </c>
      <c r="M2130" s="13">
        <v>694</v>
      </c>
      <c r="N2130" s="13">
        <v>2</v>
      </c>
      <c r="O2130" s="15"/>
      <c r="P2130" s="6">
        <v>42171.770601851851</v>
      </c>
      <c r="Q2130" s="16" t="s">
        <v>118</v>
      </c>
      <c r="R2130" s="17" t="s">
        <v>119</v>
      </c>
      <c r="S2130" s="12"/>
      <c r="T2130" s="12"/>
      <c r="U2130" s="10" t="str">
        <f>HYPERLINK("https://pbs.twimg.com/profile_images/628553625984438272/e-VHyhP1.png","View")</f>
        <v>View</v>
      </c>
    </row>
    <row r="2131" spans="1:21" ht="40.799999999999997">
      <c r="A2131" s="6">
        <v>43424.649710648147</v>
      </c>
      <c r="B2131" s="7" t="str">
        <f>HYPERLINK("https://twitter.com/La_Cerca","@La_Cerca")</f>
        <v>@La_Cerca</v>
      </c>
      <c r="C2131" s="8" t="s">
        <v>167</v>
      </c>
      <c r="D2131" s="9" t="s">
        <v>5306</v>
      </c>
      <c r="E2131" s="10" t="str">
        <f>HYPERLINK("https://twitter.com/La_Cerca/status/1064889999374602242","1064889999374602242")</f>
        <v>1064889999374602242</v>
      </c>
      <c r="F2131" s="11" t="s">
        <v>5307</v>
      </c>
      <c r="G2131" s="12"/>
      <c r="H2131" s="12"/>
      <c r="I2131" s="13">
        <v>0</v>
      </c>
      <c r="J2131" s="13">
        <v>0</v>
      </c>
      <c r="K2131" s="14" t="str">
        <f>HYPERLINK("http://www.lacerca.com","La Cerca")</f>
        <v>La Cerca</v>
      </c>
      <c r="L2131" s="13">
        <v>18963</v>
      </c>
      <c r="M2131" s="13">
        <v>4967</v>
      </c>
      <c r="N2131" s="13">
        <v>336</v>
      </c>
      <c r="O2131" s="18" t="s">
        <v>36</v>
      </c>
      <c r="P2131" s="6">
        <v>40007.429652777777</v>
      </c>
      <c r="Q2131" s="16" t="s">
        <v>171</v>
      </c>
      <c r="R2131" s="17" t="s">
        <v>172</v>
      </c>
      <c r="S2131" s="11" t="s">
        <v>173</v>
      </c>
      <c r="T2131" s="12"/>
      <c r="U2131" s="10" t="str">
        <f>HYPERLINK("https://pbs.twimg.com/profile_images/1046758213843111937/MFsiNfy0.jpg","View")</f>
        <v>View</v>
      </c>
    </row>
    <row r="2132" spans="1:21" ht="30.6">
      <c r="A2132" s="6">
        <v>43424.649351851855</v>
      </c>
      <c r="B2132" s="7" t="str">
        <f>HYPERLINK("https://twitter.com/elimparciales","@elimparciales")</f>
        <v>@elimparciales</v>
      </c>
      <c r="C2132" s="8" t="s">
        <v>7468</v>
      </c>
      <c r="D2132" s="9" t="s">
        <v>7469</v>
      </c>
      <c r="E2132" s="10" t="str">
        <f>HYPERLINK("https://twitter.com/elimparciales/status/1064889868692717570","1064889868692717570")</f>
        <v>1064889868692717570</v>
      </c>
      <c r="F2132" s="11" t="s">
        <v>7470</v>
      </c>
      <c r="G2132" s="12"/>
      <c r="H2132" s="12"/>
      <c r="I2132" s="13">
        <v>0</v>
      </c>
      <c r="J2132" s="13">
        <v>0</v>
      </c>
      <c r="K2132" s="14" t="str">
        <f>HYPERLINK("http://twitter.com","Twitter Web Client")</f>
        <v>Twitter Web Client</v>
      </c>
      <c r="L2132" s="13">
        <v>11552</v>
      </c>
      <c r="M2132" s="13">
        <v>369</v>
      </c>
      <c r="N2132" s="13">
        <v>537</v>
      </c>
      <c r="O2132" s="15"/>
      <c r="P2132" s="6">
        <v>39920.357499999998</v>
      </c>
      <c r="Q2132" s="16" t="s">
        <v>37</v>
      </c>
      <c r="R2132" s="17" t="s">
        <v>7471</v>
      </c>
      <c r="S2132" s="11" t="s">
        <v>7472</v>
      </c>
      <c r="T2132" s="12"/>
      <c r="U2132" s="10" t="str">
        <f>HYPERLINK("https://pbs.twimg.com/profile_images/974262443810742272/5ZVdtCJY.jpg","View")</f>
        <v>View</v>
      </c>
    </row>
    <row r="2133" spans="1:21" ht="30.6">
      <c r="A2133" s="6">
        <v>43424.648587962962</v>
      </c>
      <c r="B2133" s="7" t="str">
        <f t="shared" ref="B2133:B2134" si="447">HYPERLINK("https://twitter.com/josesanfru","@josesanfru")</f>
        <v>@josesanfru</v>
      </c>
      <c r="C2133" s="8" t="s">
        <v>5308</v>
      </c>
      <c r="D2133" s="9" t="s">
        <v>5309</v>
      </c>
      <c r="E2133" s="10" t="str">
        <f>HYPERLINK("https://twitter.com/josesanfru/status/1064889591956758531","1064889591956758531")</f>
        <v>1064889591956758531</v>
      </c>
      <c r="F2133" s="12"/>
      <c r="G2133" s="11" t="s">
        <v>5311</v>
      </c>
      <c r="H2133" s="12"/>
      <c r="I2133" s="13">
        <v>17</v>
      </c>
      <c r="J2133" s="13">
        <v>11</v>
      </c>
      <c r="K2133" s="14" t="str">
        <f t="shared" ref="K2133:K2134" si="448">HYPERLINK("http://twitter.com/download/iphone","Twitter for iPhone")</f>
        <v>Twitter for iPhone</v>
      </c>
      <c r="L2133" s="13">
        <v>76</v>
      </c>
      <c r="M2133" s="13">
        <v>223</v>
      </c>
      <c r="N2133" s="13">
        <v>0</v>
      </c>
      <c r="O2133" s="15"/>
      <c r="P2133" s="6">
        <v>40843.007106481484</v>
      </c>
      <c r="Q2133" s="12"/>
      <c r="R2133" s="19"/>
      <c r="S2133" s="12"/>
      <c r="T2133" s="12"/>
      <c r="U2133" s="10" t="str">
        <f t="shared" ref="U2133:U2134" si="449">HYPERLINK("https://pbs.twimg.com/profile_images/1064201813434482695/SRWCTRAS.jpg","View")</f>
        <v>View</v>
      </c>
    </row>
    <row r="2134" spans="1:21" ht="40.799999999999997">
      <c r="A2134" s="6">
        <v>43424.647337962961</v>
      </c>
      <c r="B2134" s="7" t="str">
        <f t="shared" si="447"/>
        <v>@josesanfru</v>
      </c>
      <c r="C2134" s="8" t="s">
        <v>5308</v>
      </c>
      <c r="D2134" s="9" t="s">
        <v>5313</v>
      </c>
      <c r="E2134" s="10" t="str">
        <f>HYPERLINK("https://twitter.com/josesanfru/status/1064889139181572097","1064889139181572097")</f>
        <v>1064889139181572097</v>
      </c>
      <c r="F2134" s="12"/>
      <c r="G2134" s="11" t="s">
        <v>5315</v>
      </c>
      <c r="H2134" s="12"/>
      <c r="I2134" s="13">
        <v>14</v>
      </c>
      <c r="J2134" s="13">
        <v>11</v>
      </c>
      <c r="K2134" s="14" t="str">
        <f t="shared" si="448"/>
        <v>Twitter for iPhone</v>
      </c>
      <c r="L2134" s="13">
        <v>76</v>
      </c>
      <c r="M2134" s="13">
        <v>223</v>
      </c>
      <c r="N2134" s="13">
        <v>0</v>
      </c>
      <c r="O2134" s="15"/>
      <c r="P2134" s="6">
        <v>40843.007106481484</v>
      </c>
      <c r="Q2134" s="12"/>
      <c r="R2134" s="19"/>
      <c r="S2134" s="12"/>
      <c r="T2134" s="12"/>
      <c r="U2134" s="10" t="str">
        <f t="shared" si="449"/>
        <v>View</v>
      </c>
    </row>
    <row r="2135" spans="1:21" ht="20.399999999999999">
      <c r="A2135" s="6">
        <v>43424.643530092595</v>
      </c>
      <c r="B2135" s="7" t="str">
        <f>HYPERLINK("https://twitter.com/EstefaniCabeza","@EstefaniCabeza")</f>
        <v>@EstefaniCabeza</v>
      </c>
      <c r="C2135" s="8" t="s">
        <v>7473</v>
      </c>
      <c r="D2135" s="9" t="s">
        <v>7474</v>
      </c>
      <c r="E2135" s="10" t="str">
        <f>HYPERLINK("https://twitter.com/EstefaniCabeza/status/1064887762799812609","1064887762799812609")</f>
        <v>1064887762799812609</v>
      </c>
      <c r="F2135" s="12"/>
      <c r="G2135" s="12"/>
      <c r="H2135" s="12"/>
      <c r="I2135" s="13">
        <v>0</v>
      </c>
      <c r="J2135" s="13">
        <v>0</v>
      </c>
      <c r="K2135" s="14" t="str">
        <f>HYPERLINK("http://twitter.com/download/android","Twitter for Android")</f>
        <v>Twitter for Android</v>
      </c>
      <c r="L2135" s="13">
        <v>121</v>
      </c>
      <c r="M2135" s="13">
        <v>88</v>
      </c>
      <c r="N2135" s="13">
        <v>2</v>
      </c>
      <c r="O2135" s="15"/>
      <c r="P2135" s="6">
        <v>41848.693888888891</v>
      </c>
      <c r="Q2135" s="16" t="s">
        <v>75</v>
      </c>
      <c r="R2135" s="19"/>
      <c r="S2135" s="12"/>
      <c r="T2135" s="12"/>
      <c r="U2135" s="10" t="str">
        <f>HYPERLINK("https://pbs.twimg.com/profile_images/1054868060308418560/4KkDd4aV.jpg","View")</f>
        <v>View</v>
      </c>
    </row>
    <row r="2136" spans="1:21" ht="20.399999999999999">
      <c r="A2136" s="6">
        <v>43424.643321759257</v>
      </c>
      <c r="B2136" s="7" t="str">
        <f>HYPERLINK("https://twitter.com/BartMulet","@BartMulet")</f>
        <v>@BartMulet</v>
      </c>
      <c r="C2136" s="8" t="s">
        <v>7475</v>
      </c>
      <c r="D2136" s="9" t="s">
        <v>7476</v>
      </c>
      <c r="E2136" s="10" t="str">
        <f>HYPERLINK("https://twitter.com/BartMulet/status/1064887686182383617","1064887686182383617")</f>
        <v>1064887686182383617</v>
      </c>
      <c r="F2136" s="12"/>
      <c r="G2136" s="11" t="s">
        <v>7477</v>
      </c>
      <c r="H2136" s="12"/>
      <c r="I2136" s="13">
        <v>0</v>
      </c>
      <c r="J2136" s="13">
        <v>1</v>
      </c>
      <c r="K2136" s="14" t="str">
        <f t="shared" ref="K2136:K2137" si="450">HYPERLINK("http://twitter.com","Twitter Web Client")</f>
        <v>Twitter Web Client</v>
      </c>
      <c r="L2136" s="13">
        <v>104</v>
      </c>
      <c r="M2136" s="13">
        <v>609</v>
      </c>
      <c r="N2136" s="13">
        <v>1</v>
      </c>
      <c r="O2136" s="15"/>
      <c r="P2136" s="6">
        <v>40180.93074074074</v>
      </c>
      <c r="Q2136" s="16" t="s">
        <v>7478</v>
      </c>
      <c r="R2136" s="17" t="s">
        <v>7479</v>
      </c>
      <c r="S2136" s="12"/>
      <c r="T2136" s="12"/>
      <c r="U2136" s="10" t="str">
        <f>HYPERLINK("https://pbs.twimg.com/profile_images/1055249948143505409/INycxfrH.jpg","View")</f>
        <v>View</v>
      </c>
    </row>
    <row r="2137" spans="1:21" ht="40.799999999999997">
      <c r="A2137" s="6">
        <v>43424.641898148147</v>
      </c>
      <c r="B2137" s="7" t="str">
        <f>HYPERLINK("https://twitter.com/PartidoRepEs","@PartidoRepEs")</f>
        <v>@PartidoRepEs</v>
      </c>
      <c r="C2137" s="8" t="s">
        <v>3243</v>
      </c>
      <c r="D2137" s="9" t="s">
        <v>7480</v>
      </c>
      <c r="E2137" s="10" t="str">
        <f>HYPERLINK("https://twitter.com/PartidoRepEs/status/1064887168554991620","1064887168554991620")</f>
        <v>1064887168554991620</v>
      </c>
      <c r="F2137" s="11" t="s">
        <v>7441</v>
      </c>
      <c r="G2137" s="12"/>
      <c r="H2137" s="12"/>
      <c r="I2137" s="13">
        <v>5</v>
      </c>
      <c r="J2137" s="13">
        <v>5</v>
      </c>
      <c r="K2137" s="14" t="str">
        <f t="shared" si="450"/>
        <v>Twitter Web Client</v>
      </c>
      <c r="L2137" s="13">
        <v>4374</v>
      </c>
      <c r="M2137" s="13">
        <v>4995</v>
      </c>
      <c r="N2137" s="13">
        <v>25</v>
      </c>
      <c r="O2137" s="15"/>
      <c r="P2137" s="6">
        <v>42183.720682870371</v>
      </c>
      <c r="Q2137" s="12"/>
      <c r="R2137" s="17" t="s">
        <v>3249</v>
      </c>
      <c r="S2137" s="11" t="s">
        <v>3250</v>
      </c>
      <c r="T2137" s="12"/>
      <c r="U2137" s="10" t="str">
        <f>HYPERLINK("https://pbs.twimg.com/profile_images/615180335417040901/p8IX-96B.jpg","View")</f>
        <v>View</v>
      </c>
    </row>
    <row r="2138" spans="1:21" ht="51">
      <c r="A2138" s="6">
        <v>43424.641423611116</v>
      </c>
      <c r="B2138" s="7" t="str">
        <f>HYPERLINK("https://twitter.com/jj4lejandro","@jj4lejandro")</f>
        <v>@jj4lejandro</v>
      </c>
      <c r="C2138" s="8" t="s">
        <v>5318</v>
      </c>
      <c r="D2138" s="9" t="s">
        <v>5319</v>
      </c>
      <c r="E2138" s="10" t="str">
        <f>HYPERLINK("https://twitter.com/jj4lejandro/status/1064886998144610311","1064886998144610311")</f>
        <v>1064886998144610311</v>
      </c>
      <c r="F2138" s="12"/>
      <c r="G2138" s="12"/>
      <c r="H2138" s="12"/>
      <c r="I2138" s="13">
        <v>0</v>
      </c>
      <c r="J2138" s="13">
        <v>1</v>
      </c>
      <c r="K2138" s="14" t="str">
        <f>HYPERLINK("http://twitter.com/download/iphone","Twitter for iPhone")</f>
        <v>Twitter for iPhone</v>
      </c>
      <c r="L2138" s="13">
        <v>155</v>
      </c>
      <c r="M2138" s="13">
        <v>360</v>
      </c>
      <c r="N2138" s="13">
        <v>1</v>
      </c>
      <c r="O2138" s="15"/>
      <c r="P2138" s="6">
        <v>43244.769988425927</v>
      </c>
      <c r="Q2138" s="16" t="s">
        <v>5321</v>
      </c>
      <c r="R2138" s="17" t="s">
        <v>5322</v>
      </c>
      <c r="S2138" s="12"/>
      <c r="T2138" s="12"/>
      <c r="U2138" s="10" t="str">
        <f>HYPERLINK("https://pbs.twimg.com/profile_images/1056022002262269952/ZJnCsVA_.jpg","View")</f>
        <v>View</v>
      </c>
    </row>
    <row r="2139" spans="1:21" ht="30.6">
      <c r="A2139" s="6">
        <v>43424.640902777777</v>
      </c>
      <c r="B2139" s="7" t="str">
        <f>HYPERLINK("https://twitter.com/israelrb78","@israelrb78")</f>
        <v>@israelrb78</v>
      </c>
      <c r="C2139" s="8" t="s">
        <v>5323</v>
      </c>
      <c r="D2139" s="9" t="s">
        <v>5324</v>
      </c>
      <c r="E2139" s="10" t="str">
        <f>HYPERLINK("https://twitter.com/israelrb78/status/1064886810193596416","1064886810193596416")</f>
        <v>1064886810193596416</v>
      </c>
      <c r="F2139" s="11" t="s">
        <v>5034</v>
      </c>
      <c r="G2139" s="12"/>
      <c r="H2139" s="12"/>
      <c r="I2139" s="13">
        <v>0</v>
      </c>
      <c r="J2139" s="13">
        <v>0</v>
      </c>
      <c r="K2139" s="14" t="str">
        <f>HYPERLINK("http://twitter.com/download/android","Twitter for Android")</f>
        <v>Twitter for Android</v>
      </c>
      <c r="L2139" s="13">
        <v>290</v>
      </c>
      <c r="M2139" s="13">
        <v>1167</v>
      </c>
      <c r="N2139" s="13">
        <v>56</v>
      </c>
      <c r="O2139" s="15"/>
      <c r="P2139" s="6">
        <v>41430.285555555558</v>
      </c>
      <c r="Q2139" s="16" t="s">
        <v>5327</v>
      </c>
      <c r="R2139" s="17" t="s">
        <v>5328</v>
      </c>
      <c r="S2139" s="12"/>
      <c r="T2139" s="12"/>
      <c r="U2139" s="10" t="str">
        <f>HYPERLINK("https://pbs.twimg.com/profile_images/671630254792949761/aENFqgYw.jpg","View")</f>
        <v>View</v>
      </c>
    </row>
    <row r="2140" spans="1:21" ht="30.6">
      <c r="A2140" s="6">
        <v>43424.639583333337</v>
      </c>
      <c r="B2140" s="7" t="str">
        <f>HYPERLINK("https://twitter.com/ElHuffPost","@ElHuffPost")</f>
        <v>@ElHuffPost</v>
      </c>
      <c r="C2140" s="8" t="s">
        <v>6203</v>
      </c>
      <c r="D2140" s="9" t="s">
        <v>7440</v>
      </c>
      <c r="E2140" s="10" t="str">
        <f>HYPERLINK("https://twitter.com/ElHuffPost/status/1064886329740128256","1064886329740128256")</f>
        <v>1064886329740128256</v>
      </c>
      <c r="F2140" s="11" t="s">
        <v>7481</v>
      </c>
      <c r="G2140" s="12"/>
      <c r="H2140" s="12"/>
      <c r="I2140" s="13">
        <v>0</v>
      </c>
      <c r="J2140" s="13">
        <v>7</v>
      </c>
      <c r="K2140" s="14" t="str">
        <f>HYPERLINK("https://about.twitter.com/products/tweetdeck","TweetDeck")</f>
        <v>TweetDeck</v>
      </c>
      <c r="L2140" s="13">
        <v>430324</v>
      </c>
      <c r="M2140" s="13">
        <v>1532</v>
      </c>
      <c r="N2140" s="13">
        <v>8188</v>
      </c>
      <c r="O2140" s="18" t="s">
        <v>36</v>
      </c>
      <c r="P2140" s="6">
        <v>40785.027118055557</v>
      </c>
      <c r="Q2140" s="16" t="s">
        <v>440</v>
      </c>
      <c r="R2140" s="17" t="s">
        <v>6205</v>
      </c>
      <c r="S2140" s="11" t="s">
        <v>6206</v>
      </c>
      <c r="T2140" s="12"/>
      <c r="U2140" s="10" t="str">
        <f>HYPERLINK("https://pbs.twimg.com/profile_images/921140803422089217/ETOEUOAx.jpg","View")</f>
        <v>View</v>
      </c>
    </row>
    <row r="2141" spans="1:21" ht="40.799999999999997">
      <c r="A2141" s="6">
        <v>43424.639363425929</v>
      </c>
      <c r="B2141" s="7" t="str">
        <f>HYPERLINK("https://twitter.com/ArwenPlaza","@ArwenPlaza")</f>
        <v>@ArwenPlaza</v>
      </c>
      <c r="C2141" s="8" t="s">
        <v>7482</v>
      </c>
      <c r="D2141" s="9" t="s">
        <v>7483</v>
      </c>
      <c r="E2141" s="10" t="str">
        <f>HYPERLINK("https://twitter.com/ArwenPlaza/status/1064886251814297602","1064886251814297602")</f>
        <v>1064886251814297602</v>
      </c>
      <c r="F2141" s="11" t="s">
        <v>7484</v>
      </c>
      <c r="G2141" s="12"/>
      <c r="H2141" s="12"/>
      <c r="I2141" s="13">
        <v>0</v>
      </c>
      <c r="J2141" s="13">
        <v>0</v>
      </c>
      <c r="K2141" s="14" t="str">
        <f>HYPERLINK("http://twitter.com/download/iphone","Twitter for iPhone")</f>
        <v>Twitter for iPhone</v>
      </c>
      <c r="L2141" s="13">
        <v>5692</v>
      </c>
      <c r="M2141" s="13">
        <v>4574</v>
      </c>
      <c r="N2141" s="13">
        <v>76</v>
      </c>
      <c r="O2141" s="15"/>
      <c r="P2141" s="6">
        <v>40933.843842592592</v>
      </c>
      <c r="Q2141" s="12"/>
      <c r="R2141" s="17" t="s">
        <v>7485</v>
      </c>
      <c r="S2141" s="12"/>
      <c r="T2141" s="12"/>
      <c r="U2141" s="10" t="str">
        <f>HYPERLINK("https://pbs.twimg.com/profile_images/786565403870896128/vQQe5n43.jpg","View")</f>
        <v>View</v>
      </c>
    </row>
    <row r="2142" spans="1:21" ht="51">
      <c r="A2142" s="6">
        <v>43424.63890046296</v>
      </c>
      <c r="B2142" s="7" t="str">
        <f>HYPERLINK("https://twitter.com/rgl1970","@rgl1970")</f>
        <v>@rgl1970</v>
      </c>
      <c r="C2142" s="8" t="s">
        <v>3401</v>
      </c>
      <c r="D2142" s="9" t="s">
        <v>5329</v>
      </c>
      <c r="E2142" s="10" t="str">
        <f>HYPERLINK("https://twitter.com/rgl1970/status/1064886081307492352","1064886081307492352")</f>
        <v>1064886081307492352</v>
      </c>
      <c r="F2142" s="12"/>
      <c r="G2142" s="11" t="s">
        <v>5330</v>
      </c>
      <c r="H2142" s="12"/>
      <c r="I2142" s="13">
        <v>56</v>
      </c>
      <c r="J2142" s="13">
        <v>64</v>
      </c>
      <c r="K2142" s="14" t="str">
        <f t="shared" ref="K2142:K2143" si="451">HYPERLINK("http://twitter.com/download/android","Twitter for Android")</f>
        <v>Twitter for Android</v>
      </c>
      <c r="L2142" s="13">
        <v>2402</v>
      </c>
      <c r="M2142" s="13">
        <v>2828</v>
      </c>
      <c r="N2142" s="13">
        <v>20</v>
      </c>
      <c r="O2142" s="15"/>
      <c r="P2142" s="6">
        <v>41801.661747685182</v>
      </c>
      <c r="Q2142" s="12"/>
      <c r="R2142" s="17" t="s">
        <v>3406</v>
      </c>
      <c r="S2142" s="12"/>
      <c r="T2142" s="12"/>
      <c r="U2142" s="10" t="str">
        <f>HYPERLINK("https://pbs.twimg.com/profile_images/1008752873096826880/ZxAKGMgA.jpg","View")</f>
        <v>View</v>
      </c>
    </row>
    <row r="2143" spans="1:21" ht="51">
      <c r="A2143" s="6">
        <v>43424.637962962966</v>
      </c>
      <c r="B2143" s="7" t="str">
        <f>HYPERLINK("https://twitter.com/AlbertoSBlanco","@AlbertoSBlanco")</f>
        <v>@AlbertoSBlanco</v>
      </c>
      <c r="C2143" s="8" t="s">
        <v>5331</v>
      </c>
      <c r="D2143" s="9" t="s">
        <v>5332</v>
      </c>
      <c r="E2143" s="10" t="str">
        <f>HYPERLINK("https://twitter.com/AlbertoSBlanco/status/1064885745427640321","1064885745427640321")</f>
        <v>1064885745427640321</v>
      </c>
      <c r="F2143" s="12"/>
      <c r="G2143" s="12"/>
      <c r="H2143" s="12"/>
      <c r="I2143" s="13">
        <v>3</v>
      </c>
      <c r="J2143" s="13">
        <v>4</v>
      </c>
      <c r="K2143" s="14" t="str">
        <f t="shared" si="451"/>
        <v>Twitter for Android</v>
      </c>
      <c r="L2143" s="13">
        <v>2675</v>
      </c>
      <c r="M2143" s="13">
        <v>3144</v>
      </c>
      <c r="N2143" s="13">
        <v>32</v>
      </c>
      <c r="O2143" s="15"/>
      <c r="P2143" s="6">
        <v>40747.720636574071</v>
      </c>
      <c r="Q2143" s="12"/>
      <c r="R2143" s="17" t="s">
        <v>5333</v>
      </c>
      <c r="S2143" s="11" t="s">
        <v>5334</v>
      </c>
      <c r="T2143" s="12"/>
      <c r="U2143" s="10" t="str">
        <f>HYPERLINK("https://pbs.twimg.com/profile_images/966330983829135360/yRqQ0NN1.jpg","View")</f>
        <v>View</v>
      </c>
    </row>
    <row r="2144" spans="1:21" ht="20.399999999999999">
      <c r="A2144" s="6">
        <v>43424.629849537036</v>
      </c>
      <c r="B2144" s="7" t="str">
        <f>HYPERLINK("https://twitter.com/jovenandaluz","@jovenandaluz")</f>
        <v>@jovenandaluz</v>
      </c>
      <c r="C2144" s="8" t="s">
        <v>6219</v>
      </c>
      <c r="D2144" s="9" t="s">
        <v>7486</v>
      </c>
      <c r="E2144" s="10" t="str">
        <f>HYPERLINK("https://twitter.com/jovenandaluz/status/1064882802456432647","1064882802456432647")</f>
        <v>1064882802456432647</v>
      </c>
      <c r="F2144" s="11" t="s">
        <v>6856</v>
      </c>
      <c r="G2144" s="12"/>
      <c r="H2144" s="12"/>
      <c r="I2144" s="13">
        <v>0</v>
      </c>
      <c r="J2144" s="13">
        <v>0</v>
      </c>
      <c r="K2144" s="14" t="str">
        <f>HYPERLINK("http://twitter.com","Twitter Web Client")</f>
        <v>Twitter Web Client</v>
      </c>
      <c r="L2144" s="13">
        <v>2552</v>
      </c>
      <c r="M2144" s="13">
        <v>2583</v>
      </c>
      <c r="N2144" s="13">
        <v>11</v>
      </c>
      <c r="O2144" s="15"/>
      <c r="P2144" s="6">
        <v>41374.977905092594</v>
      </c>
      <c r="Q2144" s="12"/>
      <c r="R2144" s="17" t="s">
        <v>6220</v>
      </c>
      <c r="S2144" s="12"/>
      <c r="T2144" s="12"/>
      <c r="U2144" s="10" t="str">
        <f>HYPERLINK("https://pbs.twimg.com/profile_images/925604270266777601/iLksBSPw.jpg","View")</f>
        <v>View</v>
      </c>
    </row>
    <row r="2145" spans="1:21" ht="51">
      <c r="A2145" s="6">
        <v>43424.625717592593</v>
      </c>
      <c r="B2145" s="7" t="str">
        <f>HYPERLINK("https://twitter.com/CiudadanosCs","@CiudadanosCs")</f>
        <v>@CiudadanosCs</v>
      </c>
      <c r="C2145" s="8" t="s">
        <v>196</v>
      </c>
      <c r="D2145" s="9" t="s">
        <v>5342</v>
      </c>
      <c r="E2145" s="10" t="str">
        <f>HYPERLINK("https://twitter.com/CiudadanosCs/status/1064881303932289030","1064881303932289030")</f>
        <v>1064881303932289030</v>
      </c>
      <c r="F2145" s="12"/>
      <c r="G2145" s="11" t="s">
        <v>5345</v>
      </c>
      <c r="H2145" s="12"/>
      <c r="I2145" s="13">
        <v>47</v>
      </c>
      <c r="J2145" s="13">
        <v>68</v>
      </c>
      <c r="K2145" s="14" t="str">
        <f>HYPERLINK("https://studio.twitter.com","Media Studio")</f>
        <v>Media Studio</v>
      </c>
      <c r="L2145" s="13">
        <v>486503</v>
      </c>
      <c r="M2145" s="13">
        <v>93653</v>
      </c>
      <c r="N2145" s="13">
        <v>3318</v>
      </c>
      <c r="O2145" s="18" t="s">
        <v>36</v>
      </c>
      <c r="P2145" s="6">
        <v>39828.753460648149</v>
      </c>
      <c r="Q2145" s="16" t="s">
        <v>37</v>
      </c>
      <c r="R2145" s="17" t="s">
        <v>202</v>
      </c>
      <c r="S2145" s="11" t="s">
        <v>203</v>
      </c>
      <c r="T2145" s="12"/>
      <c r="U2145" s="10" t="str">
        <f>HYPERLINK("https://pbs.twimg.com/profile_images/1053554096161075200/1z77_zBZ.jpg","View")</f>
        <v>View</v>
      </c>
    </row>
    <row r="2146" spans="1:21" ht="51">
      <c r="A2146" s="6">
        <v>43424.625694444447</v>
      </c>
      <c r="B2146" s="7" t="str">
        <f>HYPERLINK("https://twitter.com/bitMomentum","@bitMomentum")</f>
        <v>@bitMomentum</v>
      </c>
      <c r="C2146" s="8" t="s">
        <v>706</v>
      </c>
      <c r="D2146" s="9" t="s">
        <v>5346</v>
      </c>
      <c r="E2146" s="10" t="str">
        <f>HYPERLINK("https://twitter.com/bitMomentum/status/1064881295904436224","1064881295904436224")</f>
        <v>1064881295904436224</v>
      </c>
      <c r="F2146" s="12"/>
      <c r="G2146" s="12"/>
      <c r="H2146" s="12"/>
      <c r="I2146" s="13">
        <v>0</v>
      </c>
      <c r="J2146" s="13">
        <v>3</v>
      </c>
      <c r="K2146" s="14" t="str">
        <f>HYPERLINK("http://www.bitmomentum.com","bitMomentum Bot")</f>
        <v>bitMomentum Bot</v>
      </c>
      <c r="L2146" s="13">
        <v>10132</v>
      </c>
      <c r="M2146" s="13">
        <v>1060</v>
      </c>
      <c r="N2146" s="13">
        <v>262</v>
      </c>
      <c r="O2146" s="15"/>
      <c r="P2146" s="6">
        <v>41608.667511574073</v>
      </c>
      <c r="Q2146" s="12"/>
      <c r="R2146" s="17" t="s">
        <v>708</v>
      </c>
      <c r="S2146" s="11" t="s">
        <v>709</v>
      </c>
      <c r="T2146" s="12"/>
      <c r="U2146" s="10" t="str">
        <f>HYPERLINK("https://pbs.twimg.com/profile_images/378800000862185241/20ij2H3u.png","View")</f>
        <v>View</v>
      </c>
    </row>
    <row r="2147" spans="1:21" ht="40.799999999999997">
      <c r="A2147" s="6">
        <v>43424.625</v>
      </c>
      <c r="B2147" s="7" t="str">
        <f>HYPERLINK("https://twitter.com/CsCantabria","@CsCantabria")</f>
        <v>@CsCantabria</v>
      </c>
      <c r="C2147" s="8" t="s">
        <v>320</v>
      </c>
      <c r="D2147" s="9" t="s">
        <v>5348</v>
      </c>
      <c r="E2147" s="10" t="str">
        <f>HYPERLINK("https://twitter.com/CsCantabria/status/1064881045336657922","1064881045336657922")</f>
        <v>1064881045336657922</v>
      </c>
      <c r="F2147" s="12"/>
      <c r="G2147" s="11" t="s">
        <v>5349</v>
      </c>
      <c r="H2147" s="12"/>
      <c r="I2147" s="13">
        <v>2</v>
      </c>
      <c r="J2147" s="13">
        <v>2</v>
      </c>
      <c r="K2147" s="14" t="str">
        <f>HYPERLINK("https://studio.twitter.com","Media Studio")</f>
        <v>Media Studio</v>
      </c>
      <c r="L2147" s="13">
        <v>3554</v>
      </c>
      <c r="M2147" s="13">
        <v>328</v>
      </c>
      <c r="N2147" s="13">
        <v>92</v>
      </c>
      <c r="O2147" s="18" t="s">
        <v>36</v>
      </c>
      <c r="P2147" s="6">
        <v>41731.566608796296</v>
      </c>
      <c r="Q2147" s="16" t="s">
        <v>323</v>
      </c>
      <c r="R2147" s="17" t="s">
        <v>324</v>
      </c>
      <c r="S2147" s="11" t="s">
        <v>325</v>
      </c>
      <c r="T2147" s="12"/>
      <c r="U2147" s="10" t="str">
        <f>HYPERLINK("https://pbs.twimg.com/profile_images/1053571729455529984/zfGYdPdw.jpg","View")</f>
        <v>View</v>
      </c>
    </row>
    <row r="2148" spans="1:21" ht="40.799999999999997">
      <c r="A2148" s="6">
        <v>43424.624918981484</v>
      </c>
      <c r="B2148" s="7" t="str">
        <f>HYPERLINK("https://twitter.com/jaimeanon33","@jaimeanon33")</f>
        <v>@jaimeanon33</v>
      </c>
      <c r="C2148" s="8" t="s">
        <v>5350</v>
      </c>
      <c r="D2148" s="9" t="s">
        <v>5351</v>
      </c>
      <c r="E2148" s="10" t="str">
        <f>HYPERLINK("https://twitter.com/jaimeanon33/status/1064881017746595840","1064881017746595840")</f>
        <v>1064881017746595840</v>
      </c>
      <c r="F2148" s="16" t="s">
        <v>5352</v>
      </c>
      <c r="G2148" s="12"/>
      <c r="H2148" s="12"/>
      <c r="I2148" s="13">
        <v>0</v>
      </c>
      <c r="J2148" s="13">
        <v>0</v>
      </c>
      <c r="K2148" s="14" t="str">
        <f>HYPERLINK("http://twitter.com/download/iphone","Twitter for iPhone")</f>
        <v>Twitter for iPhone</v>
      </c>
      <c r="L2148" s="13">
        <v>234</v>
      </c>
      <c r="M2148" s="13">
        <v>564</v>
      </c>
      <c r="N2148" s="13">
        <v>5</v>
      </c>
      <c r="O2148" s="15"/>
      <c r="P2148" s="6">
        <v>40955.638182870374</v>
      </c>
      <c r="Q2148" s="16" t="s">
        <v>5355</v>
      </c>
      <c r="R2148" s="17" t="s">
        <v>5356</v>
      </c>
      <c r="S2148" s="12"/>
      <c r="T2148" s="12"/>
      <c r="U2148" s="10" t="str">
        <f>HYPERLINK("https://pbs.twimg.com/profile_images/1016799202356101121/WWSdwmXv.jpg","View")</f>
        <v>View</v>
      </c>
    </row>
    <row r="2149" spans="1:21" ht="40.799999999999997">
      <c r="A2149" s="6">
        <v>43424.621805555551</v>
      </c>
      <c r="B2149" s="7" t="str">
        <f>HYPERLINK("https://twitter.com/jasusio","@jasusio")</f>
        <v>@jasusio</v>
      </c>
      <c r="C2149" s="8" t="s">
        <v>6128</v>
      </c>
      <c r="D2149" s="9" t="s">
        <v>7487</v>
      </c>
      <c r="E2149" s="10" t="str">
        <f>HYPERLINK("https://twitter.com/jasusio/status/1064879889935941633","1064879889935941633")</f>
        <v>1064879889935941633</v>
      </c>
      <c r="F2149" s="11" t="s">
        <v>7488</v>
      </c>
      <c r="G2149" s="12"/>
      <c r="H2149" s="12"/>
      <c r="I2149" s="13">
        <v>4</v>
      </c>
      <c r="J2149" s="13">
        <v>2</v>
      </c>
      <c r="K2149" s="14" t="str">
        <f t="shared" ref="K2149:K2150" si="452">HYPERLINK("http://twitter.com","Twitter Web Client")</f>
        <v>Twitter Web Client</v>
      </c>
      <c r="L2149" s="13">
        <v>5782</v>
      </c>
      <c r="M2149" s="13">
        <v>5565</v>
      </c>
      <c r="N2149" s="13">
        <v>46</v>
      </c>
      <c r="O2149" s="15"/>
      <c r="P2149" s="6">
        <v>40224.10428240741</v>
      </c>
      <c r="Q2149" s="16" t="s">
        <v>37</v>
      </c>
      <c r="R2149" s="17" t="s">
        <v>6130</v>
      </c>
      <c r="S2149" s="12"/>
      <c r="T2149" s="12"/>
      <c r="U2149" s="10" t="str">
        <f>HYPERLINK("https://pbs.twimg.com/profile_images/2273055900/xxsw04vb6r66zjxlj4o0.png","View")</f>
        <v>View</v>
      </c>
    </row>
    <row r="2150" spans="1:21" ht="40.799999999999997">
      <c r="A2150" s="6">
        <v>43424.619884259257</v>
      </c>
      <c r="B2150" s="7" t="str">
        <f>HYPERLINK("https://twitter.com/Cristia66737016","@Cristia66737016")</f>
        <v>@Cristia66737016</v>
      </c>
      <c r="C2150" s="8" t="s">
        <v>7489</v>
      </c>
      <c r="D2150" s="9" t="s">
        <v>7490</v>
      </c>
      <c r="E2150" s="10" t="str">
        <f>HYPERLINK("https://twitter.com/Cristia66737016/status/1064879192691654657","1064879192691654657")</f>
        <v>1064879192691654657</v>
      </c>
      <c r="F2150" s="12"/>
      <c r="G2150" s="12"/>
      <c r="H2150" s="12"/>
      <c r="I2150" s="13">
        <v>0</v>
      </c>
      <c r="J2150" s="13">
        <v>0</v>
      </c>
      <c r="K2150" s="14" t="str">
        <f t="shared" si="452"/>
        <v>Twitter Web Client</v>
      </c>
      <c r="L2150" s="13">
        <v>0</v>
      </c>
      <c r="M2150" s="13">
        <v>1</v>
      </c>
      <c r="N2150" s="13">
        <v>0</v>
      </c>
      <c r="O2150" s="15"/>
      <c r="P2150" s="6">
        <v>43424.614930555559</v>
      </c>
      <c r="Q2150" s="12"/>
      <c r="R2150" s="19"/>
      <c r="S2150" s="12"/>
      <c r="T2150" s="12"/>
      <c r="U2150" s="18" t="s">
        <v>559</v>
      </c>
    </row>
    <row r="2151" spans="1:21" ht="51">
      <c r="A2151" s="6">
        <v>43424.618564814809</v>
      </c>
      <c r="B2151" s="7" t="str">
        <f>HYPERLINK("https://twitter.com/CiudadanosCs","@CiudadanosCs")</f>
        <v>@CiudadanosCs</v>
      </c>
      <c r="C2151" s="8" t="s">
        <v>196</v>
      </c>
      <c r="D2151" s="9" t="s">
        <v>5359</v>
      </c>
      <c r="E2151" s="10" t="str">
        <f>HYPERLINK("https://twitter.com/CiudadanosCs/status/1064878711906938881","1064878711906938881")</f>
        <v>1064878711906938881</v>
      </c>
      <c r="F2151" s="12"/>
      <c r="G2151" s="11" t="s">
        <v>5363</v>
      </c>
      <c r="H2151" s="12"/>
      <c r="I2151" s="13">
        <v>131</v>
      </c>
      <c r="J2151" s="13">
        <v>207</v>
      </c>
      <c r="K2151" s="14" t="str">
        <f>HYPERLINK("https://studio.twitter.com","Media Studio")</f>
        <v>Media Studio</v>
      </c>
      <c r="L2151" s="13">
        <v>486503</v>
      </c>
      <c r="M2151" s="13">
        <v>93653</v>
      </c>
      <c r="N2151" s="13">
        <v>3318</v>
      </c>
      <c r="O2151" s="18" t="s">
        <v>36</v>
      </c>
      <c r="P2151" s="6">
        <v>39828.753460648149</v>
      </c>
      <c r="Q2151" s="16" t="s">
        <v>37</v>
      </c>
      <c r="R2151" s="17" t="s">
        <v>202</v>
      </c>
      <c r="S2151" s="11" t="s">
        <v>203</v>
      </c>
      <c r="T2151" s="12"/>
      <c r="U2151" s="10" t="str">
        <f>HYPERLINK("https://pbs.twimg.com/profile_images/1053554096161075200/1z77_zBZ.jpg","View")</f>
        <v>View</v>
      </c>
    </row>
    <row r="2152" spans="1:21" ht="71.400000000000006">
      <c r="A2152" s="6">
        <v>43424.616863425923</v>
      </c>
      <c r="B2152" s="7" t="str">
        <f>HYPERLINK("https://twitter.com/leyendaurbanaxx","@leyendaurbanaxx")</f>
        <v>@leyendaurbanaxx</v>
      </c>
      <c r="C2152" s="8" t="s">
        <v>5364</v>
      </c>
      <c r="D2152" s="9" t="s">
        <v>5365</v>
      </c>
      <c r="E2152" s="10" t="str">
        <f>HYPERLINK("https://twitter.com/leyendaurbanaxx/status/1064878097978281984","1064878097978281984")</f>
        <v>1064878097978281984</v>
      </c>
      <c r="F2152" s="16" t="s">
        <v>5366</v>
      </c>
      <c r="G2152" s="12"/>
      <c r="H2152" s="12"/>
      <c r="I2152" s="13">
        <v>0</v>
      </c>
      <c r="J2152" s="13">
        <v>1</v>
      </c>
      <c r="K2152" s="14" t="str">
        <f>HYPERLINK("http://twitter.com/download/iphone","Twitter for iPhone")</f>
        <v>Twitter for iPhone</v>
      </c>
      <c r="L2152" s="13">
        <v>7</v>
      </c>
      <c r="M2152" s="13">
        <v>54</v>
      </c>
      <c r="N2152" s="13">
        <v>0</v>
      </c>
      <c r="O2152" s="15"/>
      <c r="P2152" s="6">
        <v>43424.491435185184</v>
      </c>
      <c r="Q2152" s="12"/>
      <c r="R2152" s="19"/>
      <c r="S2152" s="12"/>
      <c r="T2152" s="12"/>
      <c r="U2152" s="10" t="str">
        <f>HYPERLINK("https://pbs.twimg.com/profile_images/1064837066440261632/mJfLaKsH.jpg","View")</f>
        <v>View</v>
      </c>
    </row>
    <row r="2153" spans="1:21" ht="51">
      <c r="A2153" s="6">
        <v>43424.616736111115</v>
      </c>
      <c r="B2153" s="7" t="str">
        <f t="shared" ref="B2153:B2154" si="453">HYPERLINK("https://twitter.com/CiudadanosCs","@CiudadanosCs")</f>
        <v>@CiudadanosCs</v>
      </c>
      <c r="C2153" s="8" t="s">
        <v>196</v>
      </c>
      <c r="D2153" s="9" t="s">
        <v>5367</v>
      </c>
      <c r="E2153" s="10" t="str">
        <f>HYPERLINK("https://twitter.com/CiudadanosCs/status/1064878052604289024","1064878052604289024")</f>
        <v>1064878052604289024</v>
      </c>
      <c r="F2153" s="12"/>
      <c r="G2153" s="11" t="s">
        <v>5368</v>
      </c>
      <c r="H2153" s="12"/>
      <c r="I2153" s="13">
        <v>32</v>
      </c>
      <c r="J2153" s="13">
        <v>45</v>
      </c>
      <c r="K2153" s="14" t="str">
        <f t="shared" ref="K2153:K2154" si="454">HYPERLINK("https://studio.twitter.com","Media Studio")</f>
        <v>Media Studio</v>
      </c>
      <c r="L2153" s="13">
        <v>486503</v>
      </c>
      <c r="M2153" s="13">
        <v>93653</v>
      </c>
      <c r="N2153" s="13">
        <v>3318</v>
      </c>
      <c r="O2153" s="18" t="s">
        <v>36</v>
      </c>
      <c r="P2153" s="6">
        <v>39828.753460648149</v>
      </c>
      <c r="Q2153" s="16" t="s">
        <v>37</v>
      </c>
      <c r="R2153" s="17" t="s">
        <v>202</v>
      </c>
      <c r="S2153" s="11" t="s">
        <v>203</v>
      </c>
      <c r="T2153" s="12"/>
      <c r="U2153" s="10" t="str">
        <f t="shared" ref="U2153:U2154" si="455">HYPERLINK("https://pbs.twimg.com/profile_images/1053554096161075200/1z77_zBZ.jpg","View")</f>
        <v>View</v>
      </c>
    </row>
    <row r="2154" spans="1:21" ht="51">
      <c r="A2154" s="6">
        <v>43424.615787037037</v>
      </c>
      <c r="B2154" s="7" t="str">
        <f t="shared" si="453"/>
        <v>@CiudadanosCs</v>
      </c>
      <c r="C2154" s="8" t="s">
        <v>196</v>
      </c>
      <c r="D2154" s="9" t="s">
        <v>5371</v>
      </c>
      <c r="E2154" s="10" t="str">
        <f>HYPERLINK("https://twitter.com/CiudadanosCs/status/1064877705362051074","1064877705362051074")</f>
        <v>1064877705362051074</v>
      </c>
      <c r="F2154" s="12"/>
      <c r="G2154" s="11" t="s">
        <v>5372</v>
      </c>
      <c r="H2154" s="12"/>
      <c r="I2154" s="13">
        <v>42</v>
      </c>
      <c r="J2154" s="13">
        <v>80</v>
      </c>
      <c r="K2154" s="14" t="str">
        <f t="shared" si="454"/>
        <v>Media Studio</v>
      </c>
      <c r="L2154" s="13">
        <v>486503</v>
      </c>
      <c r="M2154" s="13">
        <v>93653</v>
      </c>
      <c r="N2154" s="13">
        <v>3318</v>
      </c>
      <c r="O2154" s="18" t="s">
        <v>36</v>
      </c>
      <c r="P2154" s="6">
        <v>39828.753460648149</v>
      </c>
      <c r="Q2154" s="16" t="s">
        <v>37</v>
      </c>
      <c r="R2154" s="17" t="s">
        <v>202</v>
      </c>
      <c r="S2154" s="11" t="s">
        <v>203</v>
      </c>
      <c r="T2154" s="12"/>
      <c r="U2154" s="10" t="str">
        <f t="shared" si="455"/>
        <v>View</v>
      </c>
    </row>
    <row r="2155" spans="1:21" ht="20.399999999999999">
      <c r="A2155" s="6">
        <v>43424.614131944443</v>
      </c>
      <c r="B2155" s="7" t="str">
        <f>HYPERLINK("https://twitter.com/scarabelo150","@scarabelo150")</f>
        <v>@scarabelo150</v>
      </c>
      <c r="C2155" s="8" t="s">
        <v>7491</v>
      </c>
      <c r="D2155" s="9" t="s">
        <v>7492</v>
      </c>
      <c r="E2155" s="10" t="str">
        <f>HYPERLINK("https://twitter.com/scarabelo150/status/1064877105996095489","1064877105996095489")</f>
        <v>1064877105996095489</v>
      </c>
      <c r="F2155" s="11" t="s">
        <v>7333</v>
      </c>
      <c r="G2155" s="12"/>
      <c r="H2155" s="12"/>
      <c r="I2155" s="13">
        <v>0</v>
      </c>
      <c r="J2155" s="13">
        <v>0</v>
      </c>
      <c r="K2155" s="14" t="str">
        <f>HYPERLINK("http://twitter.com","Twitter Web Client")</f>
        <v>Twitter Web Client</v>
      </c>
      <c r="L2155" s="13">
        <v>1478</v>
      </c>
      <c r="M2155" s="13">
        <v>531</v>
      </c>
      <c r="N2155" s="13">
        <v>86</v>
      </c>
      <c r="O2155" s="15"/>
      <c r="P2155" s="6">
        <v>40443.840763888889</v>
      </c>
      <c r="Q2155" s="12"/>
      <c r="R2155" s="19"/>
      <c r="S2155" s="12"/>
      <c r="T2155" s="12"/>
      <c r="U2155" s="10" t="str">
        <f>HYPERLINK("https://pbs.twimg.com/profile_images/977714942009856002/b8AYGNOm.jpg","View")</f>
        <v>View</v>
      </c>
    </row>
    <row r="2156" spans="1:21" ht="40.799999999999997">
      <c r="A2156" s="6">
        <v>43424.612685185188</v>
      </c>
      <c r="B2156" s="7" t="str">
        <f t="shared" ref="B2156:B2157" si="456">HYPERLINK("https://twitter.com/CiudadanosCs","@CiudadanosCs")</f>
        <v>@CiudadanosCs</v>
      </c>
      <c r="C2156" s="8" t="s">
        <v>196</v>
      </c>
      <c r="D2156" s="9" t="s">
        <v>5375</v>
      </c>
      <c r="E2156" s="10" t="str">
        <f>HYPERLINK("https://twitter.com/CiudadanosCs/status/1064876582270107648","1064876582270107648")</f>
        <v>1064876582270107648</v>
      </c>
      <c r="F2156" s="12"/>
      <c r="G2156" s="11" t="s">
        <v>5376</v>
      </c>
      <c r="H2156" s="12"/>
      <c r="I2156" s="13">
        <v>38</v>
      </c>
      <c r="J2156" s="13">
        <v>61</v>
      </c>
      <c r="K2156" s="14" t="str">
        <f t="shared" ref="K2156:K2157" si="457">HYPERLINK("https://studio.twitter.com","Media Studio")</f>
        <v>Media Studio</v>
      </c>
      <c r="L2156" s="13">
        <v>486503</v>
      </c>
      <c r="M2156" s="13">
        <v>93653</v>
      </c>
      <c r="N2156" s="13">
        <v>3318</v>
      </c>
      <c r="O2156" s="18" t="s">
        <v>36</v>
      </c>
      <c r="P2156" s="6">
        <v>39828.753460648149</v>
      </c>
      <c r="Q2156" s="16" t="s">
        <v>37</v>
      </c>
      <c r="R2156" s="17" t="s">
        <v>202</v>
      </c>
      <c r="S2156" s="11" t="s">
        <v>203</v>
      </c>
      <c r="T2156" s="12"/>
      <c r="U2156" s="10" t="str">
        <f t="shared" ref="U2156:U2157" si="458">HYPERLINK("https://pbs.twimg.com/profile_images/1053554096161075200/1z77_zBZ.jpg","View")</f>
        <v>View</v>
      </c>
    </row>
    <row r="2157" spans="1:21" ht="51">
      <c r="A2157" s="6">
        <v>43424.612129629633</v>
      </c>
      <c r="B2157" s="7" t="str">
        <f t="shared" si="456"/>
        <v>@CiudadanosCs</v>
      </c>
      <c r="C2157" s="8" t="s">
        <v>196</v>
      </c>
      <c r="D2157" s="9" t="s">
        <v>5378</v>
      </c>
      <c r="E2157" s="10" t="str">
        <f>HYPERLINK("https://twitter.com/CiudadanosCs/status/1064876382323388416","1064876382323388416")</f>
        <v>1064876382323388416</v>
      </c>
      <c r="F2157" s="12"/>
      <c r="G2157" s="11" t="s">
        <v>5379</v>
      </c>
      <c r="H2157" s="12"/>
      <c r="I2157" s="13">
        <v>90</v>
      </c>
      <c r="J2157" s="13">
        <v>133</v>
      </c>
      <c r="K2157" s="14" t="str">
        <f t="shared" si="457"/>
        <v>Media Studio</v>
      </c>
      <c r="L2157" s="13">
        <v>486503</v>
      </c>
      <c r="M2157" s="13">
        <v>93653</v>
      </c>
      <c r="N2157" s="13">
        <v>3318</v>
      </c>
      <c r="O2157" s="18" t="s">
        <v>36</v>
      </c>
      <c r="P2157" s="6">
        <v>39828.753460648149</v>
      </c>
      <c r="Q2157" s="16" t="s">
        <v>37</v>
      </c>
      <c r="R2157" s="17" t="s">
        <v>202</v>
      </c>
      <c r="S2157" s="11" t="s">
        <v>203</v>
      </c>
      <c r="T2157" s="12"/>
      <c r="U2157" s="10" t="str">
        <f t="shared" si="458"/>
        <v>View</v>
      </c>
    </row>
    <row r="2158" spans="1:21" ht="51">
      <c r="A2158" s="6">
        <v>43424.611307870371</v>
      </c>
      <c r="B2158" s="7" t="str">
        <f>HYPERLINK("https://twitter.com/leyendaurbanaxx","@leyendaurbanaxx")</f>
        <v>@leyendaurbanaxx</v>
      </c>
      <c r="C2158" s="8" t="s">
        <v>5364</v>
      </c>
      <c r="D2158" s="9" t="s">
        <v>5380</v>
      </c>
      <c r="E2158" s="10" t="str">
        <f>HYPERLINK("https://twitter.com/leyendaurbanaxx/status/1064876084787900417","1064876084787900417")</f>
        <v>1064876084787900417</v>
      </c>
      <c r="F2158" s="16" t="s">
        <v>5381</v>
      </c>
      <c r="G2158" s="11" t="s">
        <v>5382</v>
      </c>
      <c r="H2158" s="12"/>
      <c r="I2158" s="13">
        <v>0</v>
      </c>
      <c r="J2158" s="13">
        <v>0</v>
      </c>
      <c r="K2158" s="14" t="str">
        <f>HYPERLINK("http://twitter.com/download/iphone","Twitter for iPhone")</f>
        <v>Twitter for iPhone</v>
      </c>
      <c r="L2158" s="13">
        <v>7</v>
      </c>
      <c r="M2158" s="13">
        <v>54</v>
      </c>
      <c r="N2158" s="13">
        <v>0</v>
      </c>
      <c r="O2158" s="15"/>
      <c r="P2158" s="6">
        <v>43424.491435185184</v>
      </c>
      <c r="Q2158" s="12"/>
      <c r="R2158" s="19"/>
      <c r="S2158" s="12"/>
      <c r="T2158" s="12"/>
      <c r="U2158" s="10" t="str">
        <f>HYPERLINK("https://pbs.twimg.com/profile_images/1064837066440261632/mJfLaKsH.jpg","View")</f>
        <v>View</v>
      </c>
    </row>
    <row r="2159" spans="1:21" ht="40.799999999999997">
      <c r="A2159" s="6">
        <v>43424.610868055555</v>
      </c>
      <c r="B2159" s="7" t="str">
        <f>HYPERLINK("https://twitter.com/bsanchse","@bsanchse")</f>
        <v>@bsanchse</v>
      </c>
      <c r="C2159" s="8" t="s">
        <v>2850</v>
      </c>
      <c r="D2159" s="9" t="s">
        <v>5385</v>
      </c>
      <c r="E2159" s="10" t="str">
        <f>HYPERLINK("https://twitter.com/bsanchse/status/1064875924435415042","1064875924435415042")</f>
        <v>1064875924435415042</v>
      </c>
      <c r="F2159" s="12"/>
      <c r="G2159" s="12"/>
      <c r="H2159" s="12"/>
      <c r="I2159" s="13">
        <v>1</v>
      </c>
      <c r="J2159" s="13">
        <v>2</v>
      </c>
      <c r="K2159" s="14" t="str">
        <f t="shared" ref="K2159:K2160" si="459">HYPERLINK("http://twitter.com/download/android","Twitter for Android")</f>
        <v>Twitter for Android</v>
      </c>
      <c r="L2159" s="13">
        <v>456</v>
      </c>
      <c r="M2159" s="13">
        <v>791</v>
      </c>
      <c r="N2159" s="13">
        <v>14</v>
      </c>
      <c r="O2159" s="15"/>
      <c r="P2159" s="6">
        <v>40125.042962962965</v>
      </c>
      <c r="Q2159" s="16" t="s">
        <v>2853</v>
      </c>
      <c r="R2159" s="17" t="s">
        <v>2854</v>
      </c>
      <c r="S2159" s="12"/>
      <c r="T2159" s="12"/>
      <c r="U2159" s="10" t="str">
        <f>HYPERLINK("https://pbs.twimg.com/profile_images/693736944442941440/CcQ9-boJ.jpg","View")</f>
        <v>View</v>
      </c>
    </row>
    <row r="2160" spans="1:21" ht="51">
      <c r="A2160" s="6">
        <v>43424.610763888893</v>
      </c>
      <c r="B2160" s="7" t="str">
        <f>HYPERLINK("https://twitter.com/a_diestro","@a_diestro")</f>
        <v>@a_diestro</v>
      </c>
      <c r="C2160" s="8" t="s">
        <v>5388</v>
      </c>
      <c r="D2160" s="9" t="s">
        <v>5389</v>
      </c>
      <c r="E2160" s="10" t="str">
        <f>HYPERLINK("https://twitter.com/a_diestro/status/1064875888200830977","1064875888200830977")</f>
        <v>1064875888200830977</v>
      </c>
      <c r="F2160" s="12"/>
      <c r="G2160" s="11" t="s">
        <v>5390</v>
      </c>
      <c r="H2160" s="12"/>
      <c r="I2160" s="13">
        <v>0</v>
      </c>
      <c r="J2160" s="13">
        <v>1</v>
      </c>
      <c r="K2160" s="14" t="str">
        <f t="shared" si="459"/>
        <v>Twitter for Android</v>
      </c>
      <c r="L2160" s="13">
        <v>646</v>
      </c>
      <c r="M2160" s="13">
        <v>1003</v>
      </c>
      <c r="N2160" s="13">
        <v>1</v>
      </c>
      <c r="O2160" s="15"/>
      <c r="P2160" s="6">
        <v>43242.793194444443</v>
      </c>
      <c r="Q2160" s="12"/>
      <c r="R2160" s="19"/>
      <c r="S2160" s="12"/>
      <c r="T2160" s="12"/>
      <c r="U2160" s="10" t="str">
        <f>HYPERLINK("https://pbs.twimg.com/profile_images/1045318160151453702/Gk544DQM.jpg","View")</f>
        <v>View</v>
      </c>
    </row>
    <row r="2161" spans="1:21" ht="40.799999999999997">
      <c r="A2161" s="6">
        <v>43424.606874999998</v>
      </c>
      <c r="B2161" s="7" t="str">
        <f>HYPERLINK("https://twitter.com/Pepe_Tron_B_M","@Pepe_Tron_B_M")</f>
        <v>@Pepe_Tron_B_M</v>
      </c>
      <c r="C2161" s="8" t="s">
        <v>7493</v>
      </c>
      <c r="D2161" s="9" t="s">
        <v>7494</v>
      </c>
      <c r="E2161" s="10" t="str">
        <f>HYPERLINK("https://twitter.com/Pepe_Tron_B_M/status/1064874476209430529","1064874476209430529")</f>
        <v>1064874476209430529</v>
      </c>
      <c r="F2161" s="11" t="s">
        <v>6856</v>
      </c>
      <c r="G2161" s="12"/>
      <c r="H2161" s="12"/>
      <c r="I2161" s="13">
        <v>0</v>
      </c>
      <c r="J2161" s="13">
        <v>0</v>
      </c>
      <c r="K2161" s="14" t="str">
        <f>HYPERLINK("http://twitter.com","Twitter Web Client")</f>
        <v>Twitter Web Client</v>
      </c>
      <c r="L2161" s="13">
        <v>1781</v>
      </c>
      <c r="M2161" s="13">
        <v>1552</v>
      </c>
      <c r="N2161" s="13">
        <v>11</v>
      </c>
      <c r="O2161" s="15"/>
      <c r="P2161" s="6">
        <v>42321.503877314812</v>
      </c>
      <c r="Q2161" s="16" t="s">
        <v>7495</v>
      </c>
      <c r="R2161" s="17" t="s">
        <v>7496</v>
      </c>
      <c r="S2161" s="11" t="s">
        <v>7497</v>
      </c>
      <c r="T2161" s="12"/>
      <c r="U2161" s="10" t="str">
        <f>HYPERLINK("https://pbs.twimg.com/profile_images/927451522325237760/eDBdFQgq.jpg","View")</f>
        <v>View</v>
      </c>
    </row>
    <row r="2162" spans="1:21" ht="91.8">
      <c r="A2162" s="6">
        <v>43424.606226851851</v>
      </c>
      <c r="B2162" s="7" t="str">
        <f>HYPERLINK("https://twitter.com/CapPescanova","@CapPescanova")</f>
        <v>@CapPescanova</v>
      </c>
      <c r="C2162" s="8" t="s">
        <v>1452</v>
      </c>
      <c r="D2162" s="9" t="s">
        <v>5393</v>
      </c>
      <c r="E2162" s="10" t="str">
        <f>HYPERLINK("https://twitter.com/CapPescanova/status/1064874244310515714","1064874244310515714")</f>
        <v>1064874244310515714</v>
      </c>
      <c r="F2162" s="16" t="s">
        <v>5395</v>
      </c>
      <c r="G2162" s="12"/>
      <c r="H2162" s="12"/>
      <c r="I2162" s="13">
        <v>0</v>
      </c>
      <c r="J2162" s="13">
        <v>0</v>
      </c>
      <c r="K2162" s="14" t="str">
        <f>HYPERLINK("http://twitter.com/download/android","Twitter for Android")</f>
        <v>Twitter for Android</v>
      </c>
      <c r="L2162" s="13">
        <v>966</v>
      </c>
      <c r="M2162" s="13">
        <v>858</v>
      </c>
      <c r="N2162" s="13">
        <v>37</v>
      </c>
      <c r="O2162" s="15"/>
      <c r="P2162" s="6">
        <v>41148.691643518519</v>
      </c>
      <c r="Q2162" s="16" t="s">
        <v>1460</v>
      </c>
      <c r="R2162" s="17" t="s">
        <v>1461</v>
      </c>
      <c r="S2162" s="11" t="s">
        <v>1462</v>
      </c>
      <c r="T2162" s="12"/>
      <c r="U2162" s="10" t="str">
        <f>HYPERLINK("https://pbs.twimg.com/profile_images/2549038231/playmobil-captain.jpg","View")</f>
        <v>View</v>
      </c>
    </row>
    <row r="2163" spans="1:21" ht="61.2">
      <c r="A2163" s="6">
        <v>43424.605486111112</v>
      </c>
      <c r="B2163" s="7" t="str">
        <f>HYPERLINK("https://twitter.com/Dulcedelechoza1","@Dulcedelechoza1")</f>
        <v>@Dulcedelechoza1</v>
      </c>
      <c r="C2163" s="8" t="s">
        <v>5397</v>
      </c>
      <c r="D2163" s="9" t="s">
        <v>5398</v>
      </c>
      <c r="E2163" s="10" t="str">
        <f>HYPERLINK("https://twitter.com/Dulcedelechoza1/status/1064873974398664704","1064873974398664704")</f>
        <v>1064873974398664704</v>
      </c>
      <c r="F2163" s="11" t="s">
        <v>5399</v>
      </c>
      <c r="G2163" s="12"/>
      <c r="H2163" s="12"/>
      <c r="I2163" s="13">
        <v>0</v>
      </c>
      <c r="J2163" s="13">
        <v>0</v>
      </c>
      <c r="K2163" s="14" t="str">
        <f t="shared" ref="K2163:K2164" si="460">HYPERLINK("http://twitter.com","Twitter Web Client")</f>
        <v>Twitter Web Client</v>
      </c>
      <c r="L2163" s="13">
        <v>334</v>
      </c>
      <c r="M2163" s="13">
        <v>199</v>
      </c>
      <c r="N2163" s="13">
        <v>12</v>
      </c>
      <c r="O2163" s="15"/>
      <c r="P2163" s="6">
        <v>41440.207997685182</v>
      </c>
      <c r="Q2163" s="12"/>
      <c r="R2163" s="19"/>
      <c r="S2163" s="12"/>
      <c r="T2163" s="12"/>
      <c r="U2163" s="10" t="str">
        <f>HYPERLINK("https://pbs.twimg.com/profile_images/344513261580413695/4730ca2c66c2e68f592e09392400cdd7.jpeg","View")</f>
        <v>View</v>
      </c>
    </row>
    <row r="2164" spans="1:21" ht="71.400000000000006">
      <c r="A2164" s="6">
        <v>43424.60392361111</v>
      </c>
      <c r="B2164" s="7" t="str">
        <f>HYPERLINK("https://twitter.com/Carmentea38","@Carmentea38")</f>
        <v>@Carmentea38</v>
      </c>
      <c r="C2164" s="8" t="s">
        <v>7498</v>
      </c>
      <c r="D2164" s="9" t="s">
        <v>7499</v>
      </c>
      <c r="E2164" s="10" t="str">
        <f>HYPERLINK("https://twitter.com/Carmentea38/status/1064873409136467969","1064873409136467969")</f>
        <v>1064873409136467969</v>
      </c>
      <c r="F2164" s="12"/>
      <c r="G2164" s="12"/>
      <c r="H2164" s="12"/>
      <c r="I2164" s="13">
        <v>0</v>
      </c>
      <c r="J2164" s="13">
        <v>0</v>
      </c>
      <c r="K2164" s="14" t="str">
        <f t="shared" si="460"/>
        <v>Twitter Web Client</v>
      </c>
      <c r="L2164" s="13">
        <v>637</v>
      </c>
      <c r="M2164" s="13">
        <v>784</v>
      </c>
      <c r="N2164" s="13">
        <v>16</v>
      </c>
      <c r="O2164" s="15"/>
      <c r="P2164" s="6">
        <v>40807.445208333331</v>
      </c>
      <c r="Q2164" s="16" t="s">
        <v>955</v>
      </c>
      <c r="R2164" s="17" t="s">
        <v>7500</v>
      </c>
      <c r="S2164" s="12"/>
      <c r="T2164" s="12"/>
      <c r="U2164" s="10" t="str">
        <f>HYPERLINK("https://pbs.twimg.com/profile_images/426057262478528513/0fbO7ujO.jpeg","View")</f>
        <v>View</v>
      </c>
    </row>
    <row r="2165" spans="1:21" ht="51">
      <c r="A2165" s="6">
        <v>43424.603680555556</v>
      </c>
      <c r="B2165" s="7" t="str">
        <f>HYPERLINK("https://twitter.com/ec56704ea31e43f","@ec56704ea31e43f")</f>
        <v>@ec56704ea31e43f</v>
      </c>
      <c r="C2165" s="8" t="s">
        <v>7501</v>
      </c>
      <c r="D2165" s="9" t="s">
        <v>7502</v>
      </c>
      <c r="E2165" s="10" t="str">
        <f>HYPERLINK("https://twitter.com/ec56704ea31e43f/status/1064873321857277952","1064873321857277952")</f>
        <v>1064873321857277952</v>
      </c>
      <c r="F2165" s="11" t="s">
        <v>5034</v>
      </c>
      <c r="G2165" s="12"/>
      <c r="H2165" s="12"/>
      <c r="I2165" s="13">
        <v>0</v>
      </c>
      <c r="J2165" s="13">
        <v>0</v>
      </c>
      <c r="K2165" s="14" t="str">
        <f>HYPERLINK("http://twitter.com/download/android","Twitter for Android")</f>
        <v>Twitter for Android</v>
      </c>
      <c r="L2165" s="13">
        <v>0</v>
      </c>
      <c r="M2165" s="13">
        <v>0</v>
      </c>
      <c r="N2165" s="13">
        <v>0</v>
      </c>
      <c r="O2165" s="15"/>
      <c r="P2165" s="6">
        <v>41980.907662037032</v>
      </c>
      <c r="Q2165" s="12"/>
      <c r="R2165" s="19"/>
      <c r="S2165" s="12"/>
      <c r="T2165" s="12"/>
      <c r="U2165" s="10" t="str">
        <f>HYPERLINK("https://pbs.twimg.com/profile_images/541695697729622016/3RXGhIRK.jpeg","View")</f>
        <v>View</v>
      </c>
    </row>
    <row r="2166" spans="1:21" ht="61.2">
      <c r="A2166" s="6">
        <v>43424.602268518516</v>
      </c>
      <c r="B2166" s="7" t="str">
        <f>HYPERLINK("https://twitter.com/Dulcedelechoza1","@Dulcedelechoza1")</f>
        <v>@Dulcedelechoza1</v>
      </c>
      <c r="C2166" s="8" t="s">
        <v>5397</v>
      </c>
      <c r="D2166" s="9" t="s">
        <v>5405</v>
      </c>
      <c r="E2166" s="10" t="str">
        <f>HYPERLINK("https://twitter.com/Dulcedelechoza1/status/1064872808411480064","1064872808411480064")</f>
        <v>1064872808411480064</v>
      </c>
      <c r="F2166" s="11" t="s">
        <v>5406</v>
      </c>
      <c r="G2166" s="12"/>
      <c r="H2166" s="12"/>
      <c r="I2166" s="13">
        <v>0</v>
      </c>
      <c r="J2166" s="13">
        <v>0</v>
      </c>
      <c r="K2166" s="14" t="str">
        <f>HYPERLINK("http://twitter.com","Twitter Web Client")</f>
        <v>Twitter Web Client</v>
      </c>
      <c r="L2166" s="13">
        <v>334</v>
      </c>
      <c r="M2166" s="13">
        <v>199</v>
      </c>
      <c r="N2166" s="13">
        <v>12</v>
      </c>
      <c r="O2166" s="15"/>
      <c r="P2166" s="6">
        <v>41440.207997685182</v>
      </c>
      <c r="Q2166" s="12"/>
      <c r="R2166" s="19"/>
      <c r="S2166" s="12"/>
      <c r="T2166" s="12"/>
      <c r="U2166" s="10" t="str">
        <f>HYPERLINK("https://pbs.twimg.com/profile_images/344513261580413695/4730ca2c66c2e68f592e09392400cdd7.jpeg","View")</f>
        <v>View</v>
      </c>
    </row>
    <row r="2167" spans="1:21" ht="40.799999999999997">
      <c r="A2167" s="6">
        <v>43424.600636574076</v>
      </c>
      <c r="B2167" s="7" t="str">
        <f>HYPERLINK("https://twitter.com/jmiguel_corvera","@jmiguel_corvera")</f>
        <v>@jmiguel_corvera</v>
      </c>
      <c r="C2167" s="8" t="s">
        <v>7503</v>
      </c>
      <c r="D2167" s="9" t="s">
        <v>7504</v>
      </c>
      <c r="E2167" s="10" t="str">
        <f>HYPERLINK("https://twitter.com/jmiguel_corvera/status/1064872215789871104","1064872215789871104")</f>
        <v>1064872215789871104</v>
      </c>
      <c r="F2167" s="12"/>
      <c r="G2167" s="11" t="s">
        <v>7505</v>
      </c>
      <c r="H2167" s="12"/>
      <c r="I2167" s="13">
        <v>0</v>
      </c>
      <c r="J2167" s="13">
        <v>0</v>
      </c>
      <c r="K2167" s="14" t="str">
        <f>HYPERLINK("http://twitter.com/#!/download/ipad","Twitter for iPad")</f>
        <v>Twitter for iPad</v>
      </c>
      <c r="L2167" s="13">
        <v>1636</v>
      </c>
      <c r="M2167" s="13">
        <v>1627</v>
      </c>
      <c r="N2167" s="13">
        <v>22</v>
      </c>
      <c r="O2167" s="15"/>
      <c r="P2167" s="6">
        <v>42134.894745370373</v>
      </c>
      <c r="Q2167" s="12"/>
      <c r="R2167" s="17" t="s">
        <v>7506</v>
      </c>
      <c r="S2167" s="12"/>
      <c r="T2167" s="12"/>
      <c r="U2167" s="10" t="str">
        <f>HYPERLINK("https://pbs.twimg.com/profile_images/1049617389212655618/imx3A7sq.jpg","View")</f>
        <v>View</v>
      </c>
    </row>
    <row r="2168" spans="1:21" ht="40.799999999999997">
      <c r="A2168" s="6">
        <v>43424.600393518514</v>
      </c>
      <c r="B2168" s="7" t="str">
        <f>HYPERLINK("https://twitter.com/Panik81","@Panik81")</f>
        <v>@Panik81</v>
      </c>
      <c r="C2168" s="8" t="s">
        <v>1526</v>
      </c>
      <c r="D2168" s="9" t="s">
        <v>7507</v>
      </c>
      <c r="E2168" s="10" t="str">
        <f>HYPERLINK("https://twitter.com/Panik81/status/1064872129898917888","1064872129898917888")</f>
        <v>1064872129898917888</v>
      </c>
      <c r="F2168" s="12"/>
      <c r="G2168" s="11" t="s">
        <v>7508</v>
      </c>
      <c r="H2168" s="12"/>
      <c r="I2168" s="13">
        <v>10</v>
      </c>
      <c r="J2168" s="13">
        <v>17</v>
      </c>
      <c r="K2168" s="14" t="str">
        <f>HYPERLINK("http://twitter.com/download/android","Twitter for Android")</f>
        <v>Twitter for Android</v>
      </c>
      <c r="L2168" s="13">
        <v>12460</v>
      </c>
      <c r="M2168" s="13">
        <v>1544</v>
      </c>
      <c r="N2168" s="13">
        <v>109</v>
      </c>
      <c r="O2168" s="15"/>
      <c r="P2168" s="6">
        <v>40910.592569444445</v>
      </c>
      <c r="Q2168" s="12"/>
      <c r="R2168" s="17" t="s">
        <v>1529</v>
      </c>
      <c r="S2168" s="12"/>
      <c r="T2168" s="12"/>
      <c r="U2168" s="10" t="str">
        <f>HYPERLINK("https://pbs.twimg.com/profile_images/765530824049655808/6PS-97m7.jpg","View")</f>
        <v>View</v>
      </c>
    </row>
    <row r="2169" spans="1:21" ht="40.799999999999997">
      <c r="A2169" s="6">
        <v>43424.600162037037</v>
      </c>
      <c r="B2169" s="7" t="str">
        <f>HYPERLINK("https://twitter.com/davidmasso70","@davidmasso70")</f>
        <v>@davidmasso70</v>
      </c>
      <c r="C2169" s="8" t="s">
        <v>5409</v>
      </c>
      <c r="D2169" s="9" t="s">
        <v>5410</v>
      </c>
      <c r="E2169" s="10" t="str">
        <f>HYPERLINK("https://twitter.com/davidmasso70/status/1064872043009720321","1064872043009720321")</f>
        <v>1064872043009720321</v>
      </c>
      <c r="F2169" s="12"/>
      <c r="G2169" s="12"/>
      <c r="H2169" s="12"/>
      <c r="I2169" s="13">
        <v>0</v>
      </c>
      <c r="J2169" s="13">
        <v>2</v>
      </c>
      <c r="K2169" s="14" t="str">
        <f>HYPERLINK("http://twitter.com/#!/download/ipad","Twitter for iPad")</f>
        <v>Twitter for iPad</v>
      </c>
      <c r="L2169" s="13">
        <v>487</v>
      </c>
      <c r="M2169" s="13">
        <v>1515</v>
      </c>
      <c r="N2169" s="13">
        <v>6</v>
      </c>
      <c r="O2169" s="15"/>
      <c r="P2169" s="6">
        <v>40528.857303240744</v>
      </c>
      <c r="Q2169" s="16" t="s">
        <v>5412</v>
      </c>
      <c r="R2169" s="17" t="s">
        <v>5413</v>
      </c>
      <c r="S2169" s="12"/>
      <c r="T2169" s="12"/>
      <c r="U2169" s="10" t="str">
        <f>HYPERLINK("https://pbs.twimg.com/profile_images/1015650599268995072/u26bM6h6.jpg","View")</f>
        <v>View</v>
      </c>
    </row>
    <row r="2170" spans="1:21" ht="51">
      <c r="A2170" s="6">
        <v>43424.599780092598</v>
      </c>
      <c r="B2170" s="7" t="str">
        <f>HYPERLINK("https://twitter.com/PLSDE","@PLSDE")</f>
        <v>@PLSDE</v>
      </c>
      <c r="C2170" s="8" t="s">
        <v>7509</v>
      </c>
      <c r="D2170" s="9" t="s">
        <v>7510</v>
      </c>
      <c r="E2170" s="10" t="str">
        <f>HYPERLINK("https://twitter.com/PLSDE/status/1064871906015395840","1064871906015395840")</f>
        <v>1064871906015395840</v>
      </c>
      <c r="F2170" s="11" t="s">
        <v>7511</v>
      </c>
      <c r="G2170" s="12"/>
      <c r="H2170" s="12"/>
      <c r="I2170" s="13">
        <v>0</v>
      </c>
      <c r="J2170" s="13">
        <v>0</v>
      </c>
      <c r="K2170" s="14" t="str">
        <f>HYPERLINK("http://twitter.com","Twitter Web Client")</f>
        <v>Twitter Web Client</v>
      </c>
      <c r="L2170" s="13">
        <v>5491</v>
      </c>
      <c r="M2170" s="13">
        <v>5462</v>
      </c>
      <c r="N2170" s="13">
        <v>247</v>
      </c>
      <c r="O2170" s="15"/>
      <c r="P2170" s="6">
        <v>40923.741122685184</v>
      </c>
      <c r="Q2170" s="16" t="s">
        <v>37</v>
      </c>
      <c r="R2170" s="17" t="s">
        <v>7512</v>
      </c>
      <c r="S2170" s="11" t="s">
        <v>7513</v>
      </c>
      <c r="T2170" s="12"/>
      <c r="U2170" s="10" t="str">
        <f>HYPERLINK("https://pbs.twimg.com/profile_images/751011986188664833/Lfze0a2X.jpg","View")</f>
        <v>View</v>
      </c>
    </row>
    <row r="2171" spans="1:21" ht="20.399999999999999">
      <c r="A2171" s="6">
        <v>43424.599155092597</v>
      </c>
      <c r="B2171" s="7" t="str">
        <f>HYPERLINK("https://twitter.com/juananajuan17","@juananajuan17")</f>
        <v>@juananajuan17</v>
      </c>
      <c r="C2171" s="8" t="s">
        <v>6833</v>
      </c>
      <c r="D2171" s="9" t="s">
        <v>7057</v>
      </c>
      <c r="E2171" s="10" t="str">
        <f>HYPERLINK("https://twitter.com/juananajuan17/status/1064871681511043072","1064871681511043072")</f>
        <v>1064871681511043072</v>
      </c>
      <c r="F2171" s="11" t="s">
        <v>7058</v>
      </c>
      <c r="G2171" s="12"/>
      <c r="H2171" s="12"/>
      <c r="I2171" s="13">
        <v>0</v>
      </c>
      <c r="J2171" s="13">
        <v>0</v>
      </c>
      <c r="K2171" s="14" t="str">
        <f>HYPERLINK("http://twitter.com/download/android","Twitter for Android")</f>
        <v>Twitter for Android</v>
      </c>
      <c r="L2171" s="13">
        <v>14</v>
      </c>
      <c r="M2171" s="13">
        <v>155</v>
      </c>
      <c r="N2171" s="13">
        <v>0</v>
      </c>
      <c r="O2171" s="15"/>
      <c r="P2171" s="6">
        <v>42780.704629629632</v>
      </c>
      <c r="Q2171" s="16" t="s">
        <v>1612</v>
      </c>
      <c r="R2171" s="19"/>
      <c r="S2171" s="12"/>
      <c r="T2171" s="12"/>
      <c r="U2171" s="10" t="str">
        <f>HYPERLINK("https://pbs.twimg.com/profile_images/1044340776946290688/HJJeM89r.jpg","View")</f>
        <v>View</v>
      </c>
    </row>
    <row r="2172" spans="1:21" ht="102">
      <c r="A2172" s="6">
        <v>43424.598333333328</v>
      </c>
      <c r="B2172" s="7" t="str">
        <f>HYPERLINK("https://twitter.com/NeroPaddilla","@NeroPaddilla")</f>
        <v>@NeroPaddilla</v>
      </c>
      <c r="C2172" s="8" t="s">
        <v>795</v>
      </c>
      <c r="D2172" s="9" t="s">
        <v>5414</v>
      </c>
      <c r="E2172" s="10" t="str">
        <f>HYPERLINK("https://twitter.com/NeroPaddilla/status/1064871382662750209","1064871382662750209")</f>
        <v>1064871382662750209</v>
      </c>
      <c r="F2172" s="11" t="s">
        <v>5415</v>
      </c>
      <c r="G2172" s="11" t="s">
        <v>5416</v>
      </c>
      <c r="H2172" s="12"/>
      <c r="I2172" s="13">
        <v>0</v>
      </c>
      <c r="J2172" s="13">
        <v>0</v>
      </c>
      <c r="K2172" s="14" t="str">
        <f>HYPERLINK("http://twitter.com","Twitter Web Client")</f>
        <v>Twitter Web Client</v>
      </c>
      <c r="L2172" s="13">
        <v>530</v>
      </c>
      <c r="M2172" s="13">
        <v>1145</v>
      </c>
      <c r="N2172" s="13">
        <v>0</v>
      </c>
      <c r="O2172" s="15"/>
      <c r="P2172" s="6">
        <v>43177.728159722217</v>
      </c>
      <c r="Q2172" s="12"/>
      <c r="R2172" s="19"/>
      <c r="S2172" s="12"/>
      <c r="T2172" s="12"/>
      <c r="U2172" s="10" t="str">
        <f>HYPERLINK("https://pbs.twimg.com/profile_images/975414123369500672/1Q9skH_w.jpg","View")</f>
        <v>View</v>
      </c>
    </row>
    <row r="2173" spans="1:21" ht="61.2">
      <c r="A2173" s="6">
        <v>43424.597685185188</v>
      </c>
      <c r="B2173" s="7" t="str">
        <f>HYPERLINK("https://twitter.com/Hayek_2017","@Hayek_2017")</f>
        <v>@Hayek_2017</v>
      </c>
      <c r="C2173" s="8" t="s">
        <v>5417</v>
      </c>
      <c r="D2173" s="9" t="s">
        <v>5418</v>
      </c>
      <c r="E2173" s="10" t="str">
        <f>HYPERLINK("https://twitter.com/Hayek_2017/status/1064871146754056193","1064871146754056193")</f>
        <v>1064871146754056193</v>
      </c>
      <c r="F2173" s="12"/>
      <c r="G2173" s="11" t="s">
        <v>5419</v>
      </c>
      <c r="H2173" s="12"/>
      <c r="I2173" s="13">
        <v>5</v>
      </c>
      <c r="J2173" s="13">
        <v>2</v>
      </c>
      <c r="K2173" s="14" t="str">
        <f>HYPERLINK("http://twitter.com/download/android","Twitter for Android")</f>
        <v>Twitter for Android</v>
      </c>
      <c r="L2173" s="13">
        <v>456</v>
      </c>
      <c r="M2173" s="13">
        <v>188</v>
      </c>
      <c r="N2173" s="13">
        <v>9</v>
      </c>
      <c r="O2173" s="15"/>
      <c r="P2173" s="6">
        <v>43016.957094907411</v>
      </c>
      <c r="Q2173" s="16" t="s">
        <v>5420</v>
      </c>
      <c r="R2173" s="17" t="s">
        <v>5421</v>
      </c>
      <c r="S2173" s="12"/>
      <c r="T2173" s="12"/>
      <c r="U2173" s="10" t="str">
        <f>HYPERLINK("https://pbs.twimg.com/profile_images/1064919856301060096/kmwnygBn.jpg","View")</f>
        <v>View</v>
      </c>
    </row>
    <row r="2174" spans="1:21" ht="102">
      <c r="A2174" s="6">
        <v>43424.597268518519</v>
      </c>
      <c r="B2174" s="7" t="str">
        <f>HYPERLINK("https://twitter.com/NeroPaddilla","@NeroPaddilla")</f>
        <v>@NeroPaddilla</v>
      </c>
      <c r="C2174" s="8" t="s">
        <v>795</v>
      </c>
      <c r="D2174" s="9" t="s">
        <v>5422</v>
      </c>
      <c r="E2174" s="10" t="str">
        <f>HYPERLINK("https://twitter.com/NeroPaddilla/status/1064870995360706560","1064870995360706560")</f>
        <v>1064870995360706560</v>
      </c>
      <c r="F2174" s="16" t="s">
        <v>5423</v>
      </c>
      <c r="G2174" s="12"/>
      <c r="H2174" s="12"/>
      <c r="I2174" s="13">
        <v>1</v>
      </c>
      <c r="J2174" s="13">
        <v>1</v>
      </c>
      <c r="K2174" s="14" t="str">
        <f>HYPERLINK("http://twitter.com","Twitter Web Client")</f>
        <v>Twitter Web Client</v>
      </c>
      <c r="L2174" s="13">
        <v>530</v>
      </c>
      <c r="M2174" s="13">
        <v>1145</v>
      </c>
      <c r="N2174" s="13">
        <v>0</v>
      </c>
      <c r="O2174" s="15"/>
      <c r="P2174" s="6">
        <v>43177.728159722217</v>
      </c>
      <c r="Q2174" s="12"/>
      <c r="R2174" s="19"/>
      <c r="S2174" s="12"/>
      <c r="T2174" s="12"/>
      <c r="U2174" s="10" t="str">
        <f>HYPERLINK("https://pbs.twimg.com/profile_images/975414123369500672/1Q9skH_w.jpg","View")</f>
        <v>View</v>
      </c>
    </row>
    <row r="2175" spans="1:21" ht="20.399999999999999">
      <c r="A2175" s="6">
        <v>43424.596967592588</v>
      </c>
      <c r="B2175" s="7" t="str">
        <f>HYPERLINK("https://twitter.com/Bromuropuro","@Bromuropuro")</f>
        <v>@Bromuropuro</v>
      </c>
      <c r="C2175" s="8" t="s">
        <v>5427</v>
      </c>
      <c r="D2175" s="9" t="s">
        <v>5428</v>
      </c>
      <c r="E2175" s="10" t="str">
        <f>HYPERLINK("https://twitter.com/Bromuropuro/status/1064870887877484545","1064870887877484545")</f>
        <v>1064870887877484545</v>
      </c>
      <c r="F2175" s="11" t="s">
        <v>5430</v>
      </c>
      <c r="G2175" s="11" t="s">
        <v>5431</v>
      </c>
      <c r="H2175" s="12"/>
      <c r="I2175" s="13">
        <v>0</v>
      </c>
      <c r="J2175" s="13">
        <v>0</v>
      </c>
      <c r="K2175" s="14" t="str">
        <f t="shared" ref="K2175:K2176" si="461">HYPERLINK("http://twitter.com/download/iphone","Twitter for iPhone")</f>
        <v>Twitter for iPhone</v>
      </c>
      <c r="L2175" s="13">
        <v>614</v>
      </c>
      <c r="M2175" s="13">
        <v>545</v>
      </c>
      <c r="N2175" s="13">
        <v>2</v>
      </c>
      <c r="O2175" s="15"/>
      <c r="P2175" s="6">
        <v>40251.960949074077</v>
      </c>
      <c r="Q2175" s="16" t="s">
        <v>5432</v>
      </c>
      <c r="R2175" s="17" t="s">
        <v>5433</v>
      </c>
      <c r="S2175" s="12"/>
      <c r="T2175" s="12"/>
      <c r="U2175" s="10" t="str">
        <f>HYPERLINK("https://pbs.twimg.com/profile_images/1060533982209687552/sX9qcmJ5.jpg","View")</f>
        <v>View</v>
      </c>
    </row>
    <row r="2176" spans="1:21" ht="81.599999999999994">
      <c r="A2176" s="6">
        <v>43424.596875000003</v>
      </c>
      <c r="B2176" s="7" t="str">
        <f>HYPERLINK("https://twitter.com/Papito_Tibor","@Papito_Tibor")</f>
        <v>@Papito_Tibor</v>
      </c>
      <c r="C2176" s="8" t="s">
        <v>5434</v>
      </c>
      <c r="D2176" s="9" t="s">
        <v>5435</v>
      </c>
      <c r="E2176" s="10" t="str">
        <f>HYPERLINK("https://twitter.com/Papito_Tibor/status/1064870855212191744","1064870855212191744")</f>
        <v>1064870855212191744</v>
      </c>
      <c r="F2176" s="11" t="s">
        <v>3705</v>
      </c>
      <c r="G2176" s="11" t="s">
        <v>3707</v>
      </c>
      <c r="H2176" s="12"/>
      <c r="I2176" s="13">
        <v>20</v>
      </c>
      <c r="J2176" s="13">
        <v>50</v>
      </c>
      <c r="K2176" s="14" t="str">
        <f t="shared" si="461"/>
        <v>Twitter for iPhone</v>
      </c>
      <c r="L2176" s="13">
        <v>2782</v>
      </c>
      <c r="M2176" s="13">
        <v>4636</v>
      </c>
      <c r="N2176" s="13">
        <v>28</v>
      </c>
      <c r="O2176" s="15"/>
      <c r="P2176" s="6">
        <v>41315.79896990741</v>
      </c>
      <c r="Q2176" s="16" t="s">
        <v>5440</v>
      </c>
      <c r="R2176" s="17" t="s">
        <v>5441</v>
      </c>
      <c r="S2176" s="12"/>
      <c r="T2176" s="12"/>
      <c r="U2176" s="10" t="str">
        <f>HYPERLINK("https://pbs.twimg.com/profile_images/977440766510460928/-q2_r_GE.jpg","View")</f>
        <v>View</v>
      </c>
    </row>
    <row r="2177" spans="1:21" ht="51">
      <c r="A2177" s="6">
        <v>43424.595729166671</v>
      </c>
      <c r="B2177" s="7" t="str">
        <f>HYPERLINK("https://twitter.com/AurelioBelandoM","@AurelioBelandoM")</f>
        <v>@AurelioBelandoM</v>
      </c>
      <c r="C2177" s="8" t="s">
        <v>5443</v>
      </c>
      <c r="D2177" s="9" t="s">
        <v>5445</v>
      </c>
      <c r="E2177" s="10" t="str">
        <f>HYPERLINK("https://twitter.com/AurelioBelandoM/status/1064870437023346688","1064870437023346688")</f>
        <v>1064870437023346688</v>
      </c>
      <c r="F2177" s="11" t="s">
        <v>5447</v>
      </c>
      <c r="G2177" s="12"/>
      <c r="H2177" s="12"/>
      <c r="I2177" s="13">
        <v>0</v>
      </c>
      <c r="J2177" s="13">
        <v>1</v>
      </c>
      <c r="K2177" s="14" t="str">
        <f>HYPERLINK("http://twitter.com/download/android","Twitter for Android")</f>
        <v>Twitter for Android</v>
      </c>
      <c r="L2177" s="13">
        <v>6791</v>
      </c>
      <c r="M2177" s="13">
        <v>5062</v>
      </c>
      <c r="N2177" s="13">
        <v>225</v>
      </c>
      <c r="O2177" s="15"/>
      <c r="P2177" s="6">
        <v>40291.105497685188</v>
      </c>
      <c r="Q2177" s="12"/>
      <c r="R2177" s="17" t="s">
        <v>5448</v>
      </c>
      <c r="S2177" s="11" t="s">
        <v>5450</v>
      </c>
      <c r="T2177" s="12"/>
      <c r="U2177" s="10" t="str">
        <f>HYPERLINK("https://pbs.twimg.com/profile_images/1062708049792638978/L9S9spOI.jpg","View")</f>
        <v>View</v>
      </c>
    </row>
    <row r="2178" spans="1:21" ht="102">
      <c r="A2178" s="6">
        <v>43424.593923611115</v>
      </c>
      <c r="B2178" s="7" t="str">
        <f>HYPERLINK("https://twitter.com/NeroPaddilla","@NeroPaddilla")</f>
        <v>@NeroPaddilla</v>
      </c>
      <c r="C2178" s="8" t="s">
        <v>795</v>
      </c>
      <c r="D2178" s="9" t="s">
        <v>5454</v>
      </c>
      <c r="E2178" s="10" t="str">
        <f>HYPERLINK("https://twitter.com/NeroPaddilla/status/1064869782577733632","1064869782577733632")</f>
        <v>1064869782577733632</v>
      </c>
      <c r="F2178" s="11" t="s">
        <v>5455</v>
      </c>
      <c r="G2178" s="11" t="s">
        <v>5456</v>
      </c>
      <c r="H2178" s="12"/>
      <c r="I2178" s="13">
        <v>0</v>
      </c>
      <c r="J2178" s="13">
        <v>0</v>
      </c>
      <c r="K2178" s="14" t="str">
        <f>HYPERLINK("http://twitter.com","Twitter Web Client")</f>
        <v>Twitter Web Client</v>
      </c>
      <c r="L2178" s="13">
        <v>530</v>
      </c>
      <c r="M2178" s="13">
        <v>1145</v>
      </c>
      <c r="N2178" s="13">
        <v>0</v>
      </c>
      <c r="O2178" s="15"/>
      <c r="P2178" s="6">
        <v>43177.728159722217</v>
      </c>
      <c r="Q2178" s="12"/>
      <c r="R2178" s="19"/>
      <c r="S2178" s="12"/>
      <c r="T2178" s="12"/>
      <c r="U2178" s="10" t="str">
        <f>HYPERLINK("https://pbs.twimg.com/profile_images/975414123369500672/1Q9skH_w.jpg","View")</f>
        <v>View</v>
      </c>
    </row>
    <row r="2179" spans="1:21" ht="40.799999999999997">
      <c r="A2179" s="6">
        <v>43424.592893518522</v>
      </c>
      <c r="B2179" s="7" t="str">
        <f>HYPERLINK("https://twitter.com/adrianpconde","@adrianpconde")</f>
        <v>@adrianpconde</v>
      </c>
      <c r="C2179" s="8" t="s">
        <v>7514</v>
      </c>
      <c r="D2179" s="9" t="s">
        <v>7515</v>
      </c>
      <c r="E2179" s="10" t="str">
        <f>HYPERLINK("https://twitter.com/adrianpconde/status/1064869410312257536","1064869410312257536")</f>
        <v>1064869410312257536</v>
      </c>
      <c r="F2179" s="12"/>
      <c r="G2179" s="12"/>
      <c r="H2179" s="12"/>
      <c r="I2179" s="13">
        <v>1</v>
      </c>
      <c r="J2179" s="13">
        <v>5</v>
      </c>
      <c r="K2179" s="14" t="str">
        <f t="shared" ref="K2179:K2180" si="462">HYPERLINK("http://twitter.com/download/android","Twitter for Android")</f>
        <v>Twitter for Android</v>
      </c>
      <c r="L2179" s="13">
        <v>254</v>
      </c>
      <c r="M2179" s="13">
        <v>212</v>
      </c>
      <c r="N2179" s="13">
        <v>6</v>
      </c>
      <c r="O2179" s="15"/>
      <c r="P2179" s="6">
        <v>40487.630902777775</v>
      </c>
      <c r="Q2179" s="16" t="s">
        <v>284</v>
      </c>
      <c r="R2179" s="17" t="s">
        <v>7516</v>
      </c>
      <c r="S2179" s="11" t="s">
        <v>7517</v>
      </c>
      <c r="T2179" s="12"/>
      <c r="U2179" s="10" t="str">
        <f>HYPERLINK("https://pbs.twimg.com/profile_images/953512813074571264/g067UUe0.jpg","View")</f>
        <v>View</v>
      </c>
    </row>
    <row r="2180" spans="1:21" ht="30.6">
      <c r="A2180" s="6">
        <v>43424.592881944445</v>
      </c>
      <c r="B2180" s="7" t="str">
        <f>HYPERLINK("https://twitter.com/CsRoquetasdeMar","@CsRoquetasdeMar")</f>
        <v>@CsRoquetasdeMar</v>
      </c>
      <c r="C2180" s="8" t="s">
        <v>863</v>
      </c>
      <c r="D2180" s="9" t="s">
        <v>5460</v>
      </c>
      <c r="E2180" s="10" t="str">
        <f>HYPERLINK("https://twitter.com/CsRoquetasdeMar/status/1064869407141302273","1064869407141302273")</f>
        <v>1064869407141302273</v>
      </c>
      <c r="F2180" s="11" t="s">
        <v>5461</v>
      </c>
      <c r="G2180" s="11" t="s">
        <v>5462</v>
      </c>
      <c r="H2180" s="12"/>
      <c r="I2180" s="13">
        <v>6</v>
      </c>
      <c r="J2180" s="13">
        <v>8</v>
      </c>
      <c r="K2180" s="14" t="str">
        <f t="shared" si="462"/>
        <v>Twitter for Android</v>
      </c>
      <c r="L2180" s="13">
        <v>1963</v>
      </c>
      <c r="M2180" s="13">
        <v>866</v>
      </c>
      <c r="N2180" s="13">
        <v>32</v>
      </c>
      <c r="O2180" s="15"/>
      <c r="P2180" s="6">
        <v>41873.018761574072</v>
      </c>
      <c r="Q2180" s="16" t="s">
        <v>866</v>
      </c>
      <c r="R2180" s="17" t="s">
        <v>867</v>
      </c>
      <c r="S2180" s="11" t="s">
        <v>868</v>
      </c>
      <c r="T2180" s="12"/>
      <c r="U2180" s="10" t="str">
        <f>HYPERLINK("https://pbs.twimg.com/profile_images/899375488979927042/0OQvn6JM.jpg","View")</f>
        <v>View</v>
      </c>
    </row>
    <row r="2181" spans="1:21" ht="40.799999999999997">
      <c r="A2181" s="6">
        <v>43424.590127314819</v>
      </c>
      <c r="B2181" s="7" t="str">
        <f>HYPERLINK("https://twitter.com/Fjnc1Freeman","@Fjnc1Freeman")</f>
        <v>@Fjnc1Freeman</v>
      </c>
      <c r="C2181" s="8" t="s">
        <v>7518</v>
      </c>
      <c r="D2181" s="9" t="s">
        <v>7519</v>
      </c>
      <c r="E2181" s="10" t="str">
        <f>HYPERLINK("https://twitter.com/Fjnc1Freeman/status/1064868406300721152","1064868406300721152")</f>
        <v>1064868406300721152</v>
      </c>
      <c r="F2181" s="11" t="s">
        <v>7058</v>
      </c>
      <c r="G2181" s="12"/>
      <c r="H2181" s="12"/>
      <c r="I2181" s="13">
        <v>0</v>
      </c>
      <c r="J2181" s="13">
        <v>0</v>
      </c>
      <c r="K2181" s="14" t="str">
        <f t="shared" ref="K2181:K2183" si="463">HYPERLINK("http://twitter.com","Twitter Web Client")</f>
        <v>Twitter Web Client</v>
      </c>
      <c r="L2181" s="13">
        <v>620</v>
      </c>
      <c r="M2181" s="13">
        <v>587</v>
      </c>
      <c r="N2181" s="13">
        <v>20</v>
      </c>
      <c r="O2181" s="15"/>
      <c r="P2181" s="6">
        <v>41591.826782407406</v>
      </c>
      <c r="Q2181" s="16" t="s">
        <v>7520</v>
      </c>
      <c r="R2181" s="17" t="s">
        <v>7521</v>
      </c>
      <c r="S2181" s="12"/>
      <c r="T2181" s="12"/>
      <c r="U2181" s="10" t="str">
        <f>HYPERLINK("https://pbs.twimg.com/profile_images/761992327770542080/1lAxa4E9.jpg","View")</f>
        <v>View</v>
      </c>
    </row>
    <row r="2182" spans="1:21" ht="30.6">
      <c r="A2182" s="6">
        <v>43424.588506944448</v>
      </c>
      <c r="B2182" s="7" t="str">
        <f>HYPERLINK("https://twitter.com/candeladolores","@candeladolores")</f>
        <v>@candeladolores</v>
      </c>
      <c r="C2182" s="8" t="s">
        <v>7522</v>
      </c>
      <c r="D2182" s="9" t="s">
        <v>6896</v>
      </c>
      <c r="E2182" s="10" t="str">
        <f>HYPERLINK("https://twitter.com/candeladolores/status/1064867821300211713","1064867821300211713")</f>
        <v>1064867821300211713</v>
      </c>
      <c r="F2182" s="11" t="s">
        <v>5034</v>
      </c>
      <c r="G2182" s="12"/>
      <c r="H2182" s="12"/>
      <c r="I2182" s="13">
        <v>0</v>
      </c>
      <c r="J2182" s="13">
        <v>0</v>
      </c>
      <c r="K2182" s="14" t="str">
        <f t="shared" si="463"/>
        <v>Twitter Web Client</v>
      </c>
      <c r="L2182" s="13">
        <v>581</v>
      </c>
      <c r="M2182" s="13">
        <v>1226</v>
      </c>
      <c r="N2182" s="13">
        <v>4</v>
      </c>
      <c r="O2182" s="15"/>
      <c r="P2182" s="6">
        <v>40571.85119212963</v>
      </c>
      <c r="Q2182" s="16" t="s">
        <v>7523</v>
      </c>
      <c r="R2182" s="17" t="s">
        <v>7524</v>
      </c>
      <c r="S2182" s="12"/>
      <c r="T2182" s="12"/>
      <c r="U2182" s="10" t="str">
        <f>HYPERLINK("https://pbs.twimg.com/profile_images/953270769999597568/zNubthQb.jpg","View")</f>
        <v>View</v>
      </c>
    </row>
    <row r="2183" spans="1:21" ht="51">
      <c r="A2183" s="6">
        <v>43424.587858796294</v>
      </c>
      <c r="B2183" s="7" t="str">
        <f>HYPERLINK("https://twitter.com/Lorenescfan","@Lorenescfan")</f>
        <v>@Lorenescfan</v>
      </c>
      <c r="C2183" s="8" t="s">
        <v>7525</v>
      </c>
      <c r="D2183" s="9" t="s">
        <v>7526</v>
      </c>
      <c r="E2183" s="10" t="str">
        <f>HYPERLINK("https://twitter.com/Lorenescfan/status/1064867587950030850","1064867587950030850")</f>
        <v>1064867587950030850</v>
      </c>
      <c r="F2183" s="12"/>
      <c r="G2183" s="11" t="s">
        <v>7527</v>
      </c>
      <c r="H2183" s="12"/>
      <c r="I2183" s="13">
        <v>0</v>
      </c>
      <c r="J2183" s="13">
        <v>0</v>
      </c>
      <c r="K2183" s="14" t="str">
        <f t="shared" si="463"/>
        <v>Twitter Web Client</v>
      </c>
      <c r="L2183" s="13">
        <v>2449</v>
      </c>
      <c r="M2183" s="13">
        <v>2302</v>
      </c>
      <c r="N2183" s="13">
        <v>62</v>
      </c>
      <c r="O2183" s="15"/>
      <c r="P2183" s="6">
        <v>40439.521747685183</v>
      </c>
      <c r="Q2183" s="16" t="s">
        <v>7528</v>
      </c>
      <c r="R2183" s="17" t="s">
        <v>7529</v>
      </c>
      <c r="S2183" s="11" t="s">
        <v>7530</v>
      </c>
      <c r="T2183" s="12"/>
      <c r="U2183" s="10" t="str">
        <f>HYPERLINK("https://pbs.twimg.com/profile_images/1032037077641293824/sYq9ZSeG.jpg","View")</f>
        <v>View</v>
      </c>
    </row>
    <row r="2184" spans="1:21" ht="40.799999999999997">
      <c r="A2184" s="6">
        <v>43424.584722222222</v>
      </c>
      <c r="B2184" s="7" t="str">
        <f>HYPERLINK("https://twitter.com/bitMomentum","@bitMomentum")</f>
        <v>@bitMomentum</v>
      </c>
      <c r="C2184" s="8" t="s">
        <v>706</v>
      </c>
      <c r="D2184" s="9" t="s">
        <v>5464</v>
      </c>
      <c r="E2184" s="10" t="str">
        <f>HYPERLINK("https://twitter.com/bitMomentum/status/1064866448227659777","1064866448227659777")</f>
        <v>1064866448227659777</v>
      </c>
      <c r="F2184" s="12"/>
      <c r="G2184" s="12"/>
      <c r="H2184" s="12"/>
      <c r="I2184" s="13">
        <v>0</v>
      </c>
      <c r="J2184" s="13">
        <v>0</v>
      </c>
      <c r="K2184" s="14" t="str">
        <f>HYPERLINK("http://www.bitmomentum.com","bitMomentum Bot")</f>
        <v>bitMomentum Bot</v>
      </c>
      <c r="L2184" s="13">
        <v>10132</v>
      </c>
      <c r="M2184" s="13">
        <v>1060</v>
      </c>
      <c r="N2184" s="13">
        <v>262</v>
      </c>
      <c r="O2184" s="15"/>
      <c r="P2184" s="6">
        <v>41608.667511574073</v>
      </c>
      <c r="Q2184" s="12"/>
      <c r="R2184" s="17" t="s">
        <v>708</v>
      </c>
      <c r="S2184" s="11" t="s">
        <v>709</v>
      </c>
      <c r="T2184" s="12"/>
      <c r="U2184" s="10" t="str">
        <f>HYPERLINK("https://pbs.twimg.com/profile_images/378800000862185241/20ij2H3u.png","View")</f>
        <v>View</v>
      </c>
    </row>
    <row r="2185" spans="1:21" ht="112.2">
      <c r="A2185" s="6">
        <v>43424.584560185191</v>
      </c>
      <c r="B2185" s="7" t="str">
        <f>HYPERLINK("https://twitter.com/MSPE_Andalucia","@MSPE_Andalucia")</f>
        <v>@MSPE_Andalucia</v>
      </c>
      <c r="C2185" s="8" t="s">
        <v>5465</v>
      </c>
      <c r="D2185" s="9" t="s">
        <v>5466</v>
      </c>
      <c r="E2185" s="10" t="str">
        <f>HYPERLINK("https://twitter.com/MSPE_Andalucia/status/1064866390530842624","1064866390530842624")</f>
        <v>1064866390530842624</v>
      </c>
      <c r="F2185" s="11" t="s">
        <v>5467</v>
      </c>
      <c r="G2185" s="11" t="s">
        <v>5468</v>
      </c>
      <c r="H2185" s="12"/>
      <c r="I2185" s="13">
        <v>0</v>
      </c>
      <c r="J2185" s="13">
        <v>2</v>
      </c>
      <c r="K2185" s="14" t="str">
        <f>HYPERLINK("http://twitter.com/download/android","Twitter for Android")</f>
        <v>Twitter for Android</v>
      </c>
      <c r="L2185" s="13">
        <v>136</v>
      </c>
      <c r="M2185" s="13">
        <v>113</v>
      </c>
      <c r="N2185" s="13">
        <v>0</v>
      </c>
      <c r="O2185" s="15"/>
      <c r="P2185" s="6">
        <v>43280.390393518523</v>
      </c>
      <c r="Q2185" s="12"/>
      <c r="R2185" s="17" t="s">
        <v>5469</v>
      </c>
      <c r="S2185" s="12"/>
      <c r="T2185" s="12"/>
      <c r="U2185" s="10" t="str">
        <f>HYPERLINK("https://pbs.twimg.com/profile_images/1012598019978616832/OlAJNRNM.jpg","View")</f>
        <v>View</v>
      </c>
    </row>
    <row r="2186" spans="1:21" ht="51">
      <c r="A2186" s="6">
        <v>43424.584027777775</v>
      </c>
      <c r="B2186" s="7" t="str">
        <f>HYPERLINK("https://twitter.com/bitMomentum","@bitMomentum")</f>
        <v>@bitMomentum</v>
      </c>
      <c r="C2186" s="8" t="s">
        <v>706</v>
      </c>
      <c r="D2186" s="9" t="s">
        <v>5470</v>
      </c>
      <c r="E2186" s="10" t="str">
        <f>HYPERLINK("https://twitter.com/bitMomentum/status/1064866196523311105","1064866196523311105")</f>
        <v>1064866196523311105</v>
      </c>
      <c r="F2186" s="12"/>
      <c r="G2186" s="12"/>
      <c r="H2186" s="12"/>
      <c r="I2186" s="13">
        <v>0</v>
      </c>
      <c r="J2186" s="13">
        <v>0</v>
      </c>
      <c r="K2186" s="14" t="str">
        <f>HYPERLINK("http://www.bitmomentum.com","bitMomentum Bot")</f>
        <v>bitMomentum Bot</v>
      </c>
      <c r="L2186" s="13">
        <v>10132</v>
      </c>
      <c r="M2186" s="13">
        <v>1060</v>
      </c>
      <c r="N2186" s="13">
        <v>262</v>
      </c>
      <c r="O2186" s="15"/>
      <c r="P2186" s="6">
        <v>41608.667511574073</v>
      </c>
      <c r="Q2186" s="12"/>
      <c r="R2186" s="17" t="s">
        <v>708</v>
      </c>
      <c r="S2186" s="11" t="s">
        <v>709</v>
      </c>
      <c r="T2186" s="12"/>
      <c r="U2186" s="10" t="str">
        <f>HYPERLINK("https://pbs.twimg.com/profile_images/378800000862185241/20ij2H3u.png","View")</f>
        <v>View</v>
      </c>
    </row>
    <row r="2187" spans="1:21" ht="51">
      <c r="A2187" s="6">
        <v>43424.580150462964</v>
      </c>
      <c r="B2187" s="7" t="str">
        <f>HYPERLINK("https://twitter.com/gabricax","@gabricax")</f>
        <v>@gabricax</v>
      </c>
      <c r="C2187" s="8" t="s">
        <v>7531</v>
      </c>
      <c r="D2187" s="9" t="s">
        <v>7532</v>
      </c>
      <c r="E2187" s="10" t="str">
        <f>HYPERLINK("https://twitter.com/gabricax/status/1064864793172037632","1064864793172037632")</f>
        <v>1064864793172037632</v>
      </c>
      <c r="F2187" s="12"/>
      <c r="G2187" s="12"/>
      <c r="H2187" s="12"/>
      <c r="I2187" s="13">
        <v>0</v>
      </c>
      <c r="J2187" s="13">
        <v>1</v>
      </c>
      <c r="K2187" s="14" t="str">
        <f>HYPERLINK("http://twitter.com","Twitter Web Client")</f>
        <v>Twitter Web Client</v>
      </c>
      <c r="L2187" s="13">
        <v>2397</v>
      </c>
      <c r="M2187" s="13">
        <v>1805</v>
      </c>
      <c r="N2187" s="13">
        <v>174</v>
      </c>
      <c r="O2187" s="15"/>
      <c r="P2187" s="6">
        <v>40624.836377314816</v>
      </c>
      <c r="Q2187" s="16" t="s">
        <v>496</v>
      </c>
      <c r="R2187" s="17" t="s">
        <v>7533</v>
      </c>
      <c r="S2187" s="12"/>
      <c r="T2187" s="12"/>
      <c r="U2187" s="10" t="str">
        <f>HYPERLINK("https://pbs.twimg.com/profile_images/1053942833063907328/TN13XmZ_.jpg","View")</f>
        <v>View</v>
      </c>
    </row>
    <row r="2188" spans="1:21" ht="51">
      <c r="A2188" s="6">
        <v>43424.580081018517</v>
      </c>
      <c r="B2188" s="7" t="str">
        <f>HYPERLINK("https://twitter.com/CarlosMMira","@CarlosMMira")</f>
        <v>@CarlosMMira</v>
      </c>
      <c r="C2188" s="8" t="s">
        <v>7534</v>
      </c>
      <c r="D2188" s="9" t="s">
        <v>7535</v>
      </c>
      <c r="E2188" s="10" t="str">
        <f>HYPERLINK("https://twitter.com/CarlosMMira/status/1064864768392130561","1064864768392130561")</f>
        <v>1064864768392130561</v>
      </c>
      <c r="F2188" s="12"/>
      <c r="G2188" s="12"/>
      <c r="H2188" s="12"/>
      <c r="I2188" s="13">
        <v>0</v>
      </c>
      <c r="J2188" s="13">
        <v>2</v>
      </c>
      <c r="K2188" s="14" t="str">
        <f>HYPERLINK("http://twitter.com/download/iphone","Twitter for iPhone")</f>
        <v>Twitter for iPhone</v>
      </c>
      <c r="L2188" s="13">
        <v>871</v>
      </c>
      <c r="M2188" s="13">
        <v>702</v>
      </c>
      <c r="N2188" s="13">
        <v>19</v>
      </c>
      <c r="O2188" s="15"/>
      <c r="P2188" s="6">
        <v>40923.877164351856</v>
      </c>
      <c r="Q2188" s="16" t="s">
        <v>7536</v>
      </c>
      <c r="R2188" s="17" t="s">
        <v>7537</v>
      </c>
      <c r="S2188" s="12"/>
      <c r="T2188" s="12"/>
      <c r="U2188" s="10" t="str">
        <f>HYPERLINK("https://pbs.twimg.com/profile_images/1042733029674962944/s_E6ylzr.jpg","View")</f>
        <v>View</v>
      </c>
    </row>
    <row r="2189" spans="1:21" ht="20.399999999999999">
      <c r="A2189" s="6">
        <v>43424.578541666662</v>
      </c>
      <c r="B2189" s="7" t="str">
        <f>HYPERLINK("https://twitter.com/joseantoniogo43","@joseantoniogo43")</f>
        <v>@joseantoniogo43</v>
      </c>
      <c r="C2189" s="8" t="s">
        <v>2784</v>
      </c>
      <c r="D2189" s="9" t="s">
        <v>7057</v>
      </c>
      <c r="E2189" s="10" t="str">
        <f>HYPERLINK("https://twitter.com/joseantoniogo43/status/1064864208792272903","1064864208792272903")</f>
        <v>1064864208792272903</v>
      </c>
      <c r="F2189" s="11" t="s">
        <v>7058</v>
      </c>
      <c r="G2189" s="12"/>
      <c r="H2189" s="12"/>
      <c r="I2189" s="13">
        <v>0</v>
      </c>
      <c r="J2189" s="13">
        <v>0</v>
      </c>
      <c r="K2189" s="14" t="str">
        <f>HYPERLINK("http://twitter.com/download/android","Twitter for Android")</f>
        <v>Twitter for Android</v>
      </c>
      <c r="L2189" s="13">
        <v>4100</v>
      </c>
      <c r="M2189" s="13">
        <v>4242</v>
      </c>
      <c r="N2189" s="13">
        <v>39</v>
      </c>
      <c r="O2189" s="15"/>
      <c r="P2189" s="6">
        <v>40845.495509259257</v>
      </c>
      <c r="Q2189" s="12"/>
      <c r="R2189" s="19"/>
      <c r="S2189" s="12"/>
      <c r="T2189" s="12"/>
      <c r="U2189" s="10" t="str">
        <f>HYPERLINK("https://pbs.twimg.com/profile_images/3576388686/a66d7c55b1a8af804079aea3e66d3f4f.jpeg","View")</f>
        <v>View</v>
      </c>
    </row>
    <row r="2190" spans="1:21" ht="20.399999999999999">
      <c r="A2190" s="6">
        <v>43424.577141203699</v>
      </c>
      <c r="B2190" s="7" t="str">
        <f>HYPERLINK("https://twitter.com/vicentramonsole","@vicentramonsole")</f>
        <v>@vicentramonsole</v>
      </c>
      <c r="C2190" s="8" t="s">
        <v>7538</v>
      </c>
      <c r="D2190" s="9" t="s">
        <v>6896</v>
      </c>
      <c r="E2190" s="10" t="str">
        <f>HYPERLINK("https://twitter.com/vicentramonsole/status/1064863703970004993","1064863703970004993")</f>
        <v>1064863703970004993</v>
      </c>
      <c r="F2190" s="11" t="s">
        <v>5034</v>
      </c>
      <c r="G2190" s="12"/>
      <c r="H2190" s="12"/>
      <c r="I2190" s="13">
        <v>0</v>
      </c>
      <c r="J2190" s="13">
        <v>0</v>
      </c>
      <c r="K2190" s="14" t="str">
        <f>HYPERLINK("http://twitter.com","Twitter Web Client")</f>
        <v>Twitter Web Client</v>
      </c>
      <c r="L2190" s="13">
        <v>88</v>
      </c>
      <c r="M2190" s="13">
        <v>88</v>
      </c>
      <c r="N2190" s="13">
        <v>1</v>
      </c>
      <c r="O2190" s="15"/>
      <c r="P2190" s="6">
        <v>41971.684166666666</v>
      </c>
      <c r="Q2190" s="12"/>
      <c r="R2190" s="19"/>
      <c r="S2190" s="12"/>
      <c r="T2190" s="12"/>
      <c r="U2190" s="10" t="str">
        <f>HYPERLINK("https://pbs.twimg.com/profile_images/1053285854016430085/BpYqh-Og.jpg","View")</f>
        <v>View</v>
      </c>
    </row>
    <row r="2191" spans="1:21" ht="112.2">
      <c r="A2191" s="6">
        <v>43424.576747685191</v>
      </c>
      <c r="B2191" s="7" t="str">
        <f>HYPERLINK("https://twitter.com/MSPE_Andalucia","@MSPE_Andalucia")</f>
        <v>@MSPE_Andalucia</v>
      </c>
      <c r="C2191" s="8" t="s">
        <v>5465</v>
      </c>
      <c r="D2191" s="9" t="s">
        <v>5471</v>
      </c>
      <c r="E2191" s="10" t="str">
        <f>HYPERLINK("https://twitter.com/MSPE_Andalucia/status/1064863560533241856","1064863560533241856")</f>
        <v>1064863560533241856</v>
      </c>
      <c r="F2191" s="11" t="s">
        <v>5472</v>
      </c>
      <c r="G2191" s="11" t="s">
        <v>5473</v>
      </c>
      <c r="H2191" s="12"/>
      <c r="I2191" s="13">
        <v>0</v>
      </c>
      <c r="J2191" s="13">
        <v>2</v>
      </c>
      <c r="K2191" s="14" t="str">
        <f t="shared" ref="K2191:K2192" si="464">HYPERLINK("http://twitter.com/download/android","Twitter for Android")</f>
        <v>Twitter for Android</v>
      </c>
      <c r="L2191" s="13">
        <v>136</v>
      </c>
      <c r="M2191" s="13">
        <v>113</v>
      </c>
      <c r="N2191" s="13">
        <v>0</v>
      </c>
      <c r="O2191" s="15"/>
      <c r="P2191" s="6">
        <v>43280.390393518523</v>
      </c>
      <c r="Q2191" s="12"/>
      <c r="R2191" s="17" t="s">
        <v>5469</v>
      </c>
      <c r="S2191" s="12"/>
      <c r="T2191" s="12"/>
      <c r="U2191" s="10" t="str">
        <f>HYPERLINK("https://pbs.twimg.com/profile_images/1012598019978616832/OlAJNRNM.jpg","View")</f>
        <v>View</v>
      </c>
    </row>
    <row r="2192" spans="1:21" ht="91.8">
      <c r="A2192" s="6">
        <v>43424.576145833329</v>
      </c>
      <c r="B2192" s="7" t="str">
        <f>HYPERLINK("https://twitter.com/Shorantekan","@Shorantekan")</f>
        <v>@Shorantekan</v>
      </c>
      <c r="C2192" s="8" t="s">
        <v>5476</v>
      </c>
      <c r="D2192" s="9" t="s">
        <v>5477</v>
      </c>
      <c r="E2192" s="10" t="str">
        <f>HYPERLINK("https://twitter.com/Shorantekan/status/1064863340659380224","1064863340659380224")</f>
        <v>1064863340659380224</v>
      </c>
      <c r="F2192" s="11" t="s">
        <v>5478</v>
      </c>
      <c r="G2192" s="11" t="s">
        <v>5479</v>
      </c>
      <c r="H2192" s="12"/>
      <c r="I2192" s="13">
        <v>1</v>
      </c>
      <c r="J2192" s="13">
        <v>1</v>
      </c>
      <c r="K2192" s="14" t="str">
        <f t="shared" si="464"/>
        <v>Twitter for Android</v>
      </c>
      <c r="L2192" s="13">
        <v>227</v>
      </c>
      <c r="M2192" s="13">
        <v>1729</v>
      </c>
      <c r="N2192" s="13">
        <v>1</v>
      </c>
      <c r="O2192" s="15"/>
      <c r="P2192" s="6">
        <v>40195.873784722222</v>
      </c>
      <c r="Q2192" s="16" t="s">
        <v>5480</v>
      </c>
      <c r="R2192" s="17" t="s">
        <v>5481</v>
      </c>
      <c r="S2192" s="12"/>
      <c r="T2192" s="12"/>
      <c r="U2192" s="10" t="str">
        <f>HYPERLINK("https://pbs.twimg.com/profile_images/770486605568151552/PQxCFWcb.jpg","View")</f>
        <v>View</v>
      </c>
    </row>
    <row r="2193" spans="1:21" ht="40.799999999999997">
      <c r="A2193" s="6">
        <v>43424.575717592597</v>
      </c>
      <c r="B2193" s="7" t="str">
        <f>HYPERLINK("https://twitter.com/OdJordi","@OdJordi")</f>
        <v>@OdJordi</v>
      </c>
      <c r="C2193" s="8" t="s">
        <v>731</v>
      </c>
      <c r="D2193" s="9" t="s">
        <v>5482</v>
      </c>
      <c r="E2193" s="10" t="str">
        <f>HYPERLINK("https://twitter.com/OdJordi/status/1064863185247838208","1064863185247838208")</f>
        <v>1064863185247838208</v>
      </c>
      <c r="F2193" s="12"/>
      <c r="G2193" s="12"/>
      <c r="H2193" s="12"/>
      <c r="I2193" s="13">
        <v>0</v>
      </c>
      <c r="J2193" s="13">
        <v>0</v>
      </c>
      <c r="K2193" s="14" t="str">
        <f>HYPERLINK("http://twitter.com","Twitter Web Client")</f>
        <v>Twitter Web Client</v>
      </c>
      <c r="L2193" s="13">
        <v>125</v>
      </c>
      <c r="M2193" s="13">
        <v>315</v>
      </c>
      <c r="N2193" s="13">
        <v>1</v>
      </c>
      <c r="O2193" s="15"/>
      <c r="P2193" s="6">
        <v>43364.784398148149</v>
      </c>
      <c r="Q2193" s="16" t="s">
        <v>735</v>
      </c>
      <c r="R2193" s="17" t="s">
        <v>736</v>
      </c>
      <c r="S2193" s="12"/>
      <c r="T2193" s="12"/>
      <c r="U2193" s="10" t="str">
        <f>HYPERLINK("https://pbs.twimg.com/profile_images/1051850895523278848/MJfJWY0y.jpg","View")</f>
        <v>View</v>
      </c>
    </row>
    <row r="2194" spans="1:21" ht="112.2">
      <c r="A2194" s="6">
        <v>43424.57335648148</v>
      </c>
      <c r="B2194" s="7" t="str">
        <f>HYPERLINK("https://twitter.com/MSPE_Andalucia","@MSPE_Andalucia")</f>
        <v>@MSPE_Andalucia</v>
      </c>
      <c r="C2194" s="8" t="s">
        <v>5465</v>
      </c>
      <c r="D2194" s="9" t="s">
        <v>5485</v>
      </c>
      <c r="E2194" s="10" t="str">
        <f>HYPERLINK("https://twitter.com/MSPE_Andalucia/status/1064862331623170053","1064862331623170053")</f>
        <v>1064862331623170053</v>
      </c>
      <c r="F2194" s="11" t="s">
        <v>5487</v>
      </c>
      <c r="G2194" s="11" t="s">
        <v>5488</v>
      </c>
      <c r="H2194" s="12"/>
      <c r="I2194" s="13">
        <v>4</v>
      </c>
      <c r="J2194" s="13">
        <v>6</v>
      </c>
      <c r="K2194" s="14" t="str">
        <f>HYPERLINK("http://twitter.com/download/android","Twitter for Android")</f>
        <v>Twitter for Android</v>
      </c>
      <c r="L2194" s="13">
        <v>136</v>
      </c>
      <c r="M2194" s="13">
        <v>113</v>
      </c>
      <c r="N2194" s="13">
        <v>0</v>
      </c>
      <c r="O2194" s="15"/>
      <c r="P2194" s="6">
        <v>43280.390393518523</v>
      </c>
      <c r="Q2194" s="12"/>
      <c r="R2194" s="17" t="s">
        <v>5469</v>
      </c>
      <c r="S2194" s="12"/>
      <c r="T2194" s="12"/>
      <c r="U2194" s="10" t="str">
        <f>HYPERLINK("https://pbs.twimg.com/profile_images/1012598019978616832/OlAJNRNM.jpg","View")</f>
        <v>View</v>
      </c>
    </row>
    <row r="2195" spans="1:21" ht="51">
      <c r="A2195" s="6">
        <v>43424.572569444441</v>
      </c>
      <c r="B2195" s="7" t="str">
        <f>HYPERLINK("https://twitter.com/MorbixFactory","@MorbixFactory")</f>
        <v>@MorbixFactory</v>
      </c>
      <c r="C2195" s="8" t="s">
        <v>7539</v>
      </c>
      <c r="D2195" s="9" t="s">
        <v>7540</v>
      </c>
      <c r="E2195" s="10" t="str">
        <f>HYPERLINK("https://twitter.com/MorbixFactory/status/1064862046934761472","1064862046934761472")</f>
        <v>1064862046934761472</v>
      </c>
      <c r="F2195" s="16" t="s">
        <v>7541</v>
      </c>
      <c r="G2195" s="12"/>
      <c r="H2195" s="12"/>
      <c r="I2195" s="13">
        <v>3</v>
      </c>
      <c r="J2195" s="13">
        <v>11</v>
      </c>
      <c r="K2195" s="14" t="str">
        <f>HYPERLINK("http://twitter.com","Twitter Web Client")</f>
        <v>Twitter Web Client</v>
      </c>
      <c r="L2195" s="13">
        <v>1715</v>
      </c>
      <c r="M2195" s="13">
        <v>647</v>
      </c>
      <c r="N2195" s="13">
        <v>25</v>
      </c>
      <c r="O2195" s="15"/>
      <c r="P2195" s="6">
        <v>41156.834097222221</v>
      </c>
      <c r="Q2195" s="12"/>
      <c r="R2195" s="17" t="s">
        <v>7542</v>
      </c>
      <c r="S2195" s="11" t="s">
        <v>7543</v>
      </c>
      <c r="T2195" s="12"/>
      <c r="U2195" s="10" t="str">
        <f>HYPERLINK("https://pbs.twimg.com/profile_images/974727892033826822/JsZ4i0n2.jpg","View")</f>
        <v>View</v>
      </c>
    </row>
    <row r="2196" spans="1:21" ht="40.799999999999997">
      <c r="A2196" s="6">
        <v>43424.572337962964</v>
      </c>
      <c r="B2196" s="7" t="str">
        <f>HYPERLINK("https://twitter.com/TercioHispanico","@TercioHispanico")</f>
        <v>@TercioHispanico</v>
      </c>
      <c r="C2196" s="8" t="s">
        <v>1730</v>
      </c>
      <c r="D2196" s="9" t="s">
        <v>7544</v>
      </c>
      <c r="E2196" s="10" t="str">
        <f>HYPERLINK("https://twitter.com/TercioHispanico/status/1064861962545373184","1064861962545373184")</f>
        <v>1064861962545373184</v>
      </c>
      <c r="F2196" s="11" t="s">
        <v>7545</v>
      </c>
      <c r="G2196" s="12"/>
      <c r="H2196" s="12"/>
      <c r="I2196" s="13">
        <v>0</v>
      </c>
      <c r="J2196" s="13">
        <v>0</v>
      </c>
      <c r="K2196" s="14" t="str">
        <f>HYPERLINK("https://diariorc.com","Tercio Hispánico App C")</f>
        <v>Tercio Hispánico App C</v>
      </c>
      <c r="L2196" s="13">
        <v>1463</v>
      </c>
      <c r="M2196" s="13">
        <v>1448</v>
      </c>
      <c r="N2196" s="13">
        <v>3</v>
      </c>
      <c r="O2196" s="15"/>
      <c r="P2196" s="6">
        <v>43074.817384259259</v>
      </c>
      <c r="Q2196" s="16" t="s">
        <v>37</v>
      </c>
      <c r="R2196" s="17" t="s">
        <v>1733</v>
      </c>
      <c r="S2196" s="12"/>
      <c r="T2196" s="12"/>
      <c r="U2196" s="10" t="str">
        <f>HYPERLINK("https://pbs.twimg.com/profile_images/938810411045941249/GJ1yq9OJ.jpg","View")</f>
        <v>View</v>
      </c>
    </row>
    <row r="2197" spans="1:21" ht="51">
      <c r="A2197" s="6">
        <v>43424.571504629625</v>
      </c>
      <c r="B2197" s="7" t="str">
        <f>HYPERLINK("https://twitter.com/Cs_CLM","@Cs_CLM")</f>
        <v>@Cs_CLM</v>
      </c>
      <c r="C2197" s="8" t="s">
        <v>1235</v>
      </c>
      <c r="D2197" s="9" t="s">
        <v>5494</v>
      </c>
      <c r="E2197" s="10" t="str">
        <f>HYPERLINK("https://twitter.com/Cs_CLM/status/1064861661012606977","1064861661012606977")</f>
        <v>1064861661012606977</v>
      </c>
      <c r="F2197" s="11" t="s">
        <v>5461</v>
      </c>
      <c r="G2197" s="11" t="s">
        <v>5495</v>
      </c>
      <c r="H2197" s="12"/>
      <c r="I2197" s="13">
        <v>12</v>
      </c>
      <c r="J2197" s="13">
        <v>9</v>
      </c>
      <c r="K2197" s="14" t="str">
        <f>HYPERLINK("http://twitter.com/download/iphone","Twitter for iPhone")</f>
        <v>Twitter for iPhone</v>
      </c>
      <c r="L2197" s="13">
        <v>4223</v>
      </c>
      <c r="M2197" s="13">
        <v>628</v>
      </c>
      <c r="N2197" s="13">
        <v>72</v>
      </c>
      <c r="O2197" s="15"/>
      <c r="P2197" s="6">
        <v>42106.981793981482</v>
      </c>
      <c r="Q2197" s="16" t="s">
        <v>171</v>
      </c>
      <c r="R2197" s="17" t="s">
        <v>1238</v>
      </c>
      <c r="S2197" s="11" t="s">
        <v>1239</v>
      </c>
      <c r="T2197" s="12"/>
      <c r="U2197" s="10" t="str">
        <f>HYPERLINK("https://pbs.twimg.com/profile_images/1053405513923416064/Z9jG76VP.jpg","View")</f>
        <v>View</v>
      </c>
    </row>
    <row r="2198" spans="1:21" ht="20.399999999999999">
      <c r="A2198" s="6">
        <v>43424.570983796293</v>
      </c>
      <c r="B2198" s="7" t="str">
        <f>HYPERLINK("https://twitter.com/MEDINA123","@MEDINA123")</f>
        <v>@MEDINA123</v>
      </c>
      <c r="C2198" s="8" t="s">
        <v>7546</v>
      </c>
      <c r="D2198" s="9" t="s">
        <v>7547</v>
      </c>
      <c r="E2198" s="10" t="str">
        <f>HYPERLINK("https://twitter.com/MEDINA123/status/1064861472742887424","1064861472742887424")</f>
        <v>1064861472742887424</v>
      </c>
      <c r="F2198" s="11" t="s">
        <v>7548</v>
      </c>
      <c r="G2198" s="12"/>
      <c r="H2198" s="12"/>
      <c r="I2198" s="13">
        <v>0</v>
      </c>
      <c r="J2198" s="13">
        <v>0</v>
      </c>
      <c r="K2198" s="14" t="str">
        <f>HYPERLINK("http://twitter.com/download/android","Twitter for Android")</f>
        <v>Twitter for Android</v>
      </c>
      <c r="L2198" s="13">
        <v>1002</v>
      </c>
      <c r="M2198" s="13">
        <v>1510</v>
      </c>
      <c r="N2198" s="13">
        <v>19</v>
      </c>
      <c r="O2198" s="15"/>
      <c r="P2198" s="6">
        <v>39921.36787037037</v>
      </c>
      <c r="Q2198" s="16" t="s">
        <v>7549</v>
      </c>
      <c r="R2198" s="17" t="s">
        <v>7550</v>
      </c>
      <c r="S2198" s="11" t="s">
        <v>7551</v>
      </c>
      <c r="T2198" s="12"/>
      <c r="U2198" s="10" t="str">
        <f>HYPERLINK("https://pbs.twimg.com/profile_images/378800000661086488/634ad718f09693aa955e48d50d4a7927.jpeg","View")</f>
        <v>View</v>
      </c>
    </row>
    <row r="2199" spans="1:21" ht="40.799999999999997">
      <c r="A2199" s="6">
        <v>43424.569594907407</v>
      </c>
      <c r="B2199" s="7" t="str">
        <f>HYPERLINK("https://twitter.com/PilotoRojo73","@PilotoRojo73")</f>
        <v>@PilotoRojo73</v>
      </c>
      <c r="C2199" s="8" t="s">
        <v>5496</v>
      </c>
      <c r="D2199" s="9" t="s">
        <v>5497</v>
      </c>
      <c r="E2199" s="10" t="str">
        <f>HYPERLINK("https://twitter.com/PilotoRojo73/status/1064860966066769922","1064860966066769922")</f>
        <v>1064860966066769922</v>
      </c>
      <c r="F2199" s="12"/>
      <c r="G2199" s="11" t="s">
        <v>5498</v>
      </c>
      <c r="H2199" s="12"/>
      <c r="I2199" s="13">
        <v>2</v>
      </c>
      <c r="J2199" s="13">
        <v>0</v>
      </c>
      <c r="K2199" s="14" t="str">
        <f>HYPERLINK("https://mobile.twitter.com","Twitter Lite")</f>
        <v>Twitter Lite</v>
      </c>
      <c r="L2199" s="13">
        <v>10216</v>
      </c>
      <c r="M2199" s="13">
        <v>7890</v>
      </c>
      <c r="N2199" s="13">
        <v>60</v>
      </c>
      <c r="O2199" s="15"/>
      <c r="P2199" s="6">
        <v>42494.038310185184</v>
      </c>
      <c r="Q2199" s="16" t="s">
        <v>5501</v>
      </c>
      <c r="R2199" s="17" t="s">
        <v>5502</v>
      </c>
      <c r="S2199" s="11" t="s">
        <v>5503</v>
      </c>
      <c r="T2199" s="12"/>
      <c r="U2199" s="10" t="str">
        <f>HYPERLINK("https://pbs.twimg.com/profile_images/1051228030612492288/ocTykL51.jpg","View")</f>
        <v>View</v>
      </c>
    </row>
    <row r="2200" spans="1:21" ht="30.6">
      <c r="A2200" s="6">
        <v>43424.569282407407</v>
      </c>
      <c r="B2200" s="7" t="str">
        <f>HYPERLINK("https://twitter.com/alebaltanas","@alebaltanas")</f>
        <v>@alebaltanas</v>
      </c>
      <c r="C2200" s="8" t="s">
        <v>5504</v>
      </c>
      <c r="D2200" s="9" t="s">
        <v>5505</v>
      </c>
      <c r="E2200" s="10" t="str">
        <f>HYPERLINK("https://twitter.com/alebaltanas/status/1064860855328751617","1064860855328751617")</f>
        <v>1064860855328751617</v>
      </c>
      <c r="F2200" s="16" t="s">
        <v>5506</v>
      </c>
      <c r="G2200" s="11" t="s">
        <v>5507</v>
      </c>
      <c r="H2200" s="12"/>
      <c r="I2200" s="13">
        <v>0</v>
      </c>
      <c r="J2200" s="13">
        <v>2</v>
      </c>
      <c r="K2200" s="14" t="str">
        <f>HYPERLINK("http://twitter.com/download/android","Twitter for Android")</f>
        <v>Twitter for Android</v>
      </c>
      <c r="L2200" s="13">
        <v>82</v>
      </c>
      <c r="M2200" s="13">
        <v>170</v>
      </c>
      <c r="N2200" s="13">
        <v>1</v>
      </c>
      <c r="O2200" s="15"/>
      <c r="P2200" s="6">
        <v>40404.662962962961</v>
      </c>
      <c r="Q2200" s="16" t="s">
        <v>5508</v>
      </c>
      <c r="R2200" s="17" t="s">
        <v>5509</v>
      </c>
      <c r="S2200" s="12"/>
      <c r="T2200" s="12"/>
      <c r="U2200" s="10" t="str">
        <f>HYPERLINK("https://pbs.twimg.com/profile_images/1026885681577119745/FFerh6kO.jpg","View")</f>
        <v>View</v>
      </c>
    </row>
    <row r="2201" spans="1:21" ht="30.6">
      <c r="A2201" s="6">
        <v>43424.569074074076</v>
      </c>
      <c r="B2201" s="7" t="str">
        <f>HYPERLINK("https://twitter.com/ElHuffPost","@ElHuffPost")</f>
        <v>@ElHuffPost</v>
      </c>
      <c r="C2201" s="8" t="s">
        <v>6203</v>
      </c>
      <c r="D2201" s="9" t="s">
        <v>7552</v>
      </c>
      <c r="E2201" s="10" t="str">
        <f>HYPERLINK("https://twitter.com/ElHuffPost/status/1064860778338140165","1064860778338140165")</f>
        <v>1064860778338140165</v>
      </c>
      <c r="F2201" s="11" t="s">
        <v>7553</v>
      </c>
      <c r="G2201" s="12"/>
      <c r="H2201" s="12"/>
      <c r="I2201" s="13">
        <v>0</v>
      </c>
      <c r="J2201" s="13">
        <v>1</v>
      </c>
      <c r="K2201" s="14" t="str">
        <f>HYPERLINK("https://about.twitter.com/products/tweetdeck","TweetDeck")</f>
        <v>TweetDeck</v>
      </c>
      <c r="L2201" s="13">
        <v>430324</v>
      </c>
      <c r="M2201" s="13">
        <v>1532</v>
      </c>
      <c r="N2201" s="13">
        <v>8188</v>
      </c>
      <c r="O2201" s="18" t="s">
        <v>36</v>
      </c>
      <c r="P2201" s="6">
        <v>40785.027118055557</v>
      </c>
      <c r="Q2201" s="16" t="s">
        <v>440</v>
      </c>
      <c r="R2201" s="17" t="s">
        <v>6205</v>
      </c>
      <c r="S2201" s="11" t="s">
        <v>6206</v>
      </c>
      <c r="T2201" s="12"/>
      <c r="U2201" s="10" t="str">
        <f>HYPERLINK("https://pbs.twimg.com/profile_images/921140803422089217/ETOEUOAx.jpg","View")</f>
        <v>View</v>
      </c>
    </row>
    <row r="2202" spans="1:21" ht="61.2">
      <c r="A2202" s="6">
        <v>43424.567384259259</v>
      </c>
      <c r="B2202" s="7" t="str">
        <f>HYPERLINK("https://twitter.com/OdJordi","@OdJordi")</f>
        <v>@OdJordi</v>
      </c>
      <c r="C2202" s="8" t="s">
        <v>731</v>
      </c>
      <c r="D2202" s="9" t="s">
        <v>5510</v>
      </c>
      <c r="E2202" s="10" t="str">
        <f>HYPERLINK("https://twitter.com/OdJordi/status/1064860164854034432","1064860164854034432")</f>
        <v>1064860164854034432</v>
      </c>
      <c r="F2202" s="16" t="s">
        <v>5511</v>
      </c>
      <c r="G2202" s="11" t="s">
        <v>5512</v>
      </c>
      <c r="H2202" s="12"/>
      <c r="I2202" s="13">
        <v>0</v>
      </c>
      <c r="J2202" s="13">
        <v>0</v>
      </c>
      <c r="K2202" s="14" t="str">
        <f>HYPERLINK("http://twitter.com","Twitter Web Client")</f>
        <v>Twitter Web Client</v>
      </c>
      <c r="L2202" s="13">
        <v>125</v>
      </c>
      <c r="M2202" s="13">
        <v>315</v>
      </c>
      <c r="N2202" s="13">
        <v>1</v>
      </c>
      <c r="O2202" s="15"/>
      <c r="P2202" s="6">
        <v>43364.784398148149</v>
      </c>
      <c r="Q2202" s="16" t="s">
        <v>735</v>
      </c>
      <c r="R2202" s="17" t="s">
        <v>736</v>
      </c>
      <c r="S2202" s="12"/>
      <c r="T2202" s="12"/>
      <c r="U2202" s="10" t="str">
        <f>HYPERLINK("https://pbs.twimg.com/profile_images/1051850895523278848/MJfJWY0y.jpg","View")</f>
        <v>View</v>
      </c>
    </row>
    <row r="2203" spans="1:21" ht="61.2">
      <c r="A2203" s="6">
        <v>43424.566678240742</v>
      </c>
      <c r="B2203" s="7" t="str">
        <f>HYPERLINK("https://twitter.com/superwomanroja","@superwomanroja")</f>
        <v>@superwomanroja</v>
      </c>
      <c r="C2203" s="8" t="s">
        <v>5516</v>
      </c>
      <c r="D2203" s="9" t="s">
        <v>5517</v>
      </c>
      <c r="E2203" s="10" t="str">
        <f>HYPERLINK("https://twitter.com/superwomanroja/status/1064859912302444544","1064859912302444544")</f>
        <v>1064859912302444544</v>
      </c>
      <c r="F2203" s="12"/>
      <c r="G2203" s="11" t="s">
        <v>3707</v>
      </c>
      <c r="H2203" s="12"/>
      <c r="I2203" s="13">
        <v>1779</v>
      </c>
      <c r="J2203" s="13">
        <v>3641</v>
      </c>
      <c r="K2203" s="14" t="str">
        <f>HYPERLINK("http://twitter.com/download/iphone","Twitter for iPhone")</f>
        <v>Twitter for iPhone</v>
      </c>
      <c r="L2203" s="13">
        <v>55672</v>
      </c>
      <c r="M2203" s="13">
        <v>29142</v>
      </c>
      <c r="N2203" s="13">
        <v>252</v>
      </c>
      <c r="O2203" s="15"/>
      <c r="P2203" s="6">
        <v>40069.121863425928</v>
      </c>
      <c r="Q2203" s="16" t="s">
        <v>496</v>
      </c>
      <c r="R2203" s="17" t="s">
        <v>5519</v>
      </c>
      <c r="S2203" s="12"/>
      <c r="T2203" s="12"/>
      <c r="U2203" s="10" t="str">
        <f>HYPERLINK("https://pbs.twimg.com/profile_images/1000655055379410944/2ggXqNeJ.jpg","View")</f>
        <v>View</v>
      </c>
    </row>
    <row r="2204" spans="1:21" ht="51">
      <c r="A2204" s="6">
        <v>43424.565011574072</v>
      </c>
      <c r="B2204" s="7" t="str">
        <f>HYPERLINK("https://twitter.com/OdJordi","@OdJordi")</f>
        <v>@OdJordi</v>
      </c>
      <c r="C2204" s="8" t="s">
        <v>731</v>
      </c>
      <c r="D2204" s="9" t="s">
        <v>5521</v>
      </c>
      <c r="E2204" s="10" t="str">
        <f>HYPERLINK("https://twitter.com/OdJordi/status/1064859306540052481","1064859306540052481")</f>
        <v>1064859306540052481</v>
      </c>
      <c r="F2204" s="12"/>
      <c r="G2204" s="12"/>
      <c r="H2204" s="12"/>
      <c r="I2204" s="13">
        <v>0</v>
      </c>
      <c r="J2204" s="13">
        <v>0</v>
      </c>
      <c r="K2204" s="14" t="str">
        <f>HYPERLINK("http://twitter.com","Twitter Web Client")</f>
        <v>Twitter Web Client</v>
      </c>
      <c r="L2204" s="13">
        <v>125</v>
      </c>
      <c r="M2204" s="13">
        <v>315</v>
      </c>
      <c r="N2204" s="13">
        <v>1</v>
      </c>
      <c r="O2204" s="15"/>
      <c r="P2204" s="6">
        <v>43364.784398148149</v>
      </c>
      <c r="Q2204" s="16" t="s">
        <v>735</v>
      </c>
      <c r="R2204" s="17" t="s">
        <v>736</v>
      </c>
      <c r="S2204" s="12"/>
      <c r="T2204" s="12"/>
      <c r="U2204" s="10" t="str">
        <f>HYPERLINK("https://pbs.twimg.com/profile_images/1051850895523278848/MJfJWY0y.jpg","View")</f>
        <v>View</v>
      </c>
    </row>
    <row r="2205" spans="1:21" ht="30.6">
      <c r="A2205" s="6">
        <v>43424.564270833333</v>
      </c>
      <c r="B2205" s="7" t="str">
        <f>HYPERLINK("https://twitter.com/TheDavidDelta","@TheDavidDelta")</f>
        <v>@TheDavidDelta</v>
      </c>
      <c r="C2205" s="8" t="s">
        <v>7554</v>
      </c>
      <c r="D2205" s="9" t="s">
        <v>7555</v>
      </c>
      <c r="E2205" s="10" t="str">
        <f>HYPERLINK("https://twitter.com/TheDavidDelta/status/1064859038062731264","1064859038062731264")</f>
        <v>1064859038062731264</v>
      </c>
      <c r="F2205" s="12"/>
      <c r="G2205" s="12"/>
      <c r="H2205" s="12"/>
      <c r="I2205" s="13">
        <v>0</v>
      </c>
      <c r="J2205" s="13">
        <v>2</v>
      </c>
      <c r="K2205" s="14" t="str">
        <f t="shared" ref="K2205:K2207" si="465">HYPERLINK("https://about.twitter.com/products/tweetdeck","TweetDeck")</f>
        <v>TweetDeck</v>
      </c>
      <c r="L2205" s="13">
        <v>1171</v>
      </c>
      <c r="M2205" s="13">
        <v>2649</v>
      </c>
      <c r="N2205" s="13">
        <v>59</v>
      </c>
      <c r="O2205" s="15"/>
      <c r="P2205" s="6">
        <v>41403.861377314817</v>
      </c>
      <c r="Q2205" s="16" t="s">
        <v>3113</v>
      </c>
      <c r="R2205" s="17" t="s">
        <v>7556</v>
      </c>
      <c r="S2205" s="11" t="s">
        <v>7557</v>
      </c>
      <c r="T2205" s="12"/>
      <c r="U2205" s="10" t="str">
        <f>HYPERLINK("https://pbs.twimg.com/profile_images/1063474284948058114/d0ZfeNjc.jpg","View")</f>
        <v>View</v>
      </c>
    </row>
    <row r="2206" spans="1:21" ht="40.799999999999997">
      <c r="A2206" s="6">
        <v>43424.562592592592</v>
      </c>
      <c r="B2206" s="7" t="str">
        <f>HYPERLINK("https://twitter.com/elnacionalcat_e","@elnacionalcat_e")</f>
        <v>@elnacionalcat_e</v>
      </c>
      <c r="C2206" s="8" t="s">
        <v>1368</v>
      </c>
      <c r="D2206" s="9" t="s">
        <v>7558</v>
      </c>
      <c r="E2206" s="10" t="str">
        <f>HYPERLINK("https://twitter.com/elnacionalcat_e/status/1064858431708979201","1064858431708979201")</f>
        <v>1064858431708979201</v>
      </c>
      <c r="F2206" s="11" t="s">
        <v>7559</v>
      </c>
      <c r="G2206" s="12"/>
      <c r="H2206" s="12"/>
      <c r="I2206" s="13">
        <v>1</v>
      </c>
      <c r="J2206" s="13">
        <v>1</v>
      </c>
      <c r="K2206" s="14" t="str">
        <f t="shared" si="465"/>
        <v>TweetDeck</v>
      </c>
      <c r="L2206" s="13">
        <v>5489</v>
      </c>
      <c r="M2206" s="13">
        <v>355</v>
      </c>
      <c r="N2206" s="13">
        <v>167</v>
      </c>
      <c r="O2206" s="15"/>
      <c r="P2206" s="6">
        <v>42247.840567129635</v>
      </c>
      <c r="Q2206" s="16" t="s">
        <v>421</v>
      </c>
      <c r="R2206" s="17" t="s">
        <v>1374</v>
      </c>
      <c r="S2206" s="11" t="s">
        <v>1375</v>
      </c>
      <c r="T2206" s="12"/>
      <c r="U2206" s="10" t="str">
        <f>HYPERLINK("https://pbs.twimg.com/profile_images/646298514385960960/VEutSP7L.png","View")</f>
        <v>View</v>
      </c>
    </row>
    <row r="2207" spans="1:21" ht="40.799999999999997">
      <c r="A2207" s="6">
        <v>43424.562372685185</v>
      </c>
      <c r="B2207" s="7" t="str">
        <f>HYPERLINK("https://twitter.com/elnacionalcat","@elnacionalcat")</f>
        <v>@elnacionalcat</v>
      </c>
      <c r="C2207" s="8" t="s">
        <v>1368</v>
      </c>
      <c r="D2207" s="9" t="s">
        <v>7560</v>
      </c>
      <c r="E2207" s="10" t="str">
        <f>HYPERLINK("https://twitter.com/elnacionalcat/status/1064858350943420416","1064858350943420416")</f>
        <v>1064858350943420416</v>
      </c>
      <c r="F2207" s="11" t="s">
        <v>7561</v>
      </c>
      <c r="G2207" s="12"/>
      <c r="H2207" s="12"/>
      <c r="I2207" s="13">
        <v>3</v>
      </c>
      <c r="J2207" s="13">
        <v>2</v>
      </c>
      <c r="K2207" s="14" t="str">
        <f t="shared" si="465"/>
        <v>TweetDeck</v>
      </c>
      <c r="L2207" s="13">
        <v>103212</v>
      </c>
      <c r="M2207" s="13">
        <v>572</v>
      </c>
      <c r="N2207" s="13">
        <v>1179</v>
      </c>
      <c r="O2207" s="18" t="s">
        <v>36</v>
      </c>
      <c r="P2207" s="6">
        <v>42198.950173611112</v>
      </c>
      <c r="Q2207" s="12"/>
      <c r="R2207" s="17" t="s">
        <v>4511</v>
      </c>
      <c r="S2207" s="11" t="s">
        <v>4512</v>
      </c>
      <c r="T2207" s="12"/>
      <c r="U2207" s="10" t="str">
        <f>HYPERLINK("https://pbs.twimg.com/profile_images/641344204510138368/KnuPd5Hi.png","View")</f>
        <v>View</v>
      </c>
    </row>
    <row r="2208" spans="1:21" ht="20.399999999999999">
      <c r="A2208" s="6">
        <v>43424.562337962961</v>
      </c>
      <c r="B2208" s="7" t="str">
        <f>HYPERLINK("https://twitter.com/zbarbar70","@zbarbar70")</f>
        <v>@zbarbar70</v>
      </c>
      <c r="C2208" s="8" t="s">
        <v>2547</v>
      </c>
      <c r="D2208" s="9" t="s">
        <v>6896</v>
      </c>
      <c r="E2208" s="10" t="str">
        <f>HYPERLINK("https://twitter.com/zbarbar70/status/1064858336800194561","1064858336800194561")</f>
        <v>1064858336800194561</v>
      </c>
      <c r="F2208" s="11" t="s">
        <v>5034</v>
      </c>
      <c r="G2208" s="12"/>
      <c r="H2208" s="12"/>
      <c r="I2208" s="13">
        <v>0</v>
      </c>
      <c r="J2208" s="13">
        <v>0</v>
      </c>
      <c r="K2208" s="14" t="str">
        <f>HYPERLINK("http://twitter.com","Twitter Web Client")</f>
        <v>Twitter Web Client</v>
      </c>
      <c r="L2208" s="13">
        <v>133</v>
      </c>
      <c r="M2208" s="13">
        <v>422</v>
      </c>
      <c r="N2208" s="13">
        <v>0</v>
      </c>
      <c r="O2208" s="15"/>
      <c r="P2208" s="6">
        <v>42507.970185185186</v>
      </c>
      <c r="Q2208" s="16" t="s">
        <v>2550</v>
      </c>
      <c r="R2208" s="17" t="s">
        <v>2551</v>
      </c>
      <c r="S2208" s="11" t="s">
        <v>2552</v>
      </c>
      <c r="T2208" s="12"/>
      <c r="U2208" s="10" t="str">
        <f>HYPERLINK("https://pbs.twimg.com/profile_images/1007883089459150848/SnFqm4f4.jpg","View")</f>
        <v>View</v>
      </c>
    </row>
    <row r="2209" spans="1:21" ht="20.399999999999999">
      <c r="A2209" s="6">
        <v>43424.562337962961</v>
      </c>
      <c r="B2209" s="7" t="str">
        <f>HYPERLINK("https://twitter.com/mvillanuevagal","@mvillanuevagal")</f>
        <v>@mvillanuevagal</v>
      </c>
      <c r="C2209" s="8" t="s">
        <v>7562</v>
      </c>
      <c r="D2209" s="9" t="s">
        <v>7560</v>
      </c>
      <c r="E2209" s="10" t="str">
        <f>HYPERLINK("https://twitter.com/mvillanuevagal/status/1064858336456249344","1064858336456249344")</f>
        <v>1064858336456249344</v>
      </c>
      <c r="F2209" s="11" t="s">
        <v>7561</v>
      </c>
      <c r="G2209" s="12"/>
      <c r="H2209" s="12"/>
      <c r="I2209" s="13">
        <v>0</v>
      </c>
      <c r="J2209" s="13">
        <v>0</v>
      </c>
      <c r="K2209" s="14" t="str">
        <f>HYPERLINK("https://about.twitter.com/products/tweetdeck","TweetDeck")</f>
        <v>TweetDeck</v>
      </c>
      <c r="L2209" s="13">
        <v>730</v>
      </c>
      <c r="M2209" s="13">
        <v>99</v>
      </c>
      <c r="N2209" s="13">
        <v>10</v>
      </c>
      <c r="O2209" s="15"/>
      <c r="P2209" s="6">
        <v>42975.544942129629</v>
      </c>
      <c r="Q2209" s="12"/>
      <c r="R2209" s="19"/>
      <c r="S2209" s="12"/>
      <c r="T2209" s="12"/>
      <c r="U2209" s="10" t="str">
        <f>HYPERLINK("https://pbs.twimg.com/profile_images/902126698128441345/AmTX2QPi.jpg","View")</f>
        <v>View</v>
      </c>
    </row>
    <row r="2210" spans="1:21" ht="20.399999999999999">
      <c r="A2210" s="6">
        <v>43424.561412037037</v>
      </c>
      <c r="B2210" s="7" t="str">
        <f>HYPERLINK("https://twitter.com/en_blau","@en_blau")</f>
        <v>@en_blau</v>
      </c>
      <c r="C2210" s="8" t="s">
        <v>4753</v>
      </c>
      <c r="D2210" s="9" t="s">
        <v>6646</v>
      </c>
      <c r="E2210" s="10" t="str">
        <f>HYPERLINK("https://twitter.com/en_blau/status/1064858003554340872","1064858003554340872")</f>
        <v>1064858003554340872</v>
      </c>
      <c r="F2210" s="11" t="s">
        <v>7561</v>
      </c>
      <c r="G2210" s="12"/>
      <c r="H2210" s="12"/>
      <c r="I2210" s="13">
        <v>2</v>
      </c>
      <c r="J2210" s="13">
        <v>0</v>
      </c>
      <c r="K2210" s="14" t="str">
        <f t="shared" ref="K2210:K2211" si="466">HYPERLINK("http://www.wearebab.com","Comitium5 BAB")</f>
        <v>Comitium5 BAB</v>
      </c>
      <c r="L2210" s="13">
        <v>2571</v>
      </c>
      <c r="M2210" s="13">
        <v>104</v>
      </c>
      <c r="N2210" s="13">
        <v>16</v>
      </c>
      <c r="O2210" s="15"/>
      <c r="P2210" s="6">
        <v>42732.798738425925</v>
      </c>
      <c r="Q2210" s="12"/>
      <c r="R2210" s="19"/>
      <c r="S2210" s="11" t="s">
        <v>4756</v>
      </c>
      <c r="T2210" s="12"/>
      <c r="U2210" s="10" t="str">
        <f>HYPERLINK("https://pbs.twimg.com/profile_images/849620996185354240/4GWEPloC.jpg","View")</f>
        <v>View</v>
      </c>
    </row>
    <row r="2211" spans="1:21" ht="20.399999999999999">
      <c r="A2211" s="6">
        <v>43424.561203703706</v>
      </c>
      <c r="B2211" s="7" t="str">
        <f>HYPERLINK("https://twitter.com/En_Blau_es","@En_Blau_es")</f>
        <v>@En_Blau_es</v>
      </c>
      <c r="C2211" s="8" t="s">
        <v>4747</v>
      </c>
      <c r="D2211" s="9" t="s">
        <v>7563</v>
      </c>
      <c r="E2211" s="10" t="str">
        <f>HYPERLINK("https://twitter.com/En_Blau_es/status/1064857926127546368","1064857926127546368")</f>
        <v>1064857926127546368</v>
      </c>
      <c r="F2211" s="11" t="s">
        <v>7559</v>
      </c>
      <c r="G2211" s="12"/>
      <c r="H2211" s="12"/>
      <c r="I2211" s="13">
        <v>1</v>
      </c>
      <c r="J2211" s="13">
        <v>1</v>
      </c>
      <c r="K2211" s="14" t="str">
        <f t="shared" si="466"/>
        <v>Comitium5 BAB</v>
      </c>
      <c r="L2211" s="13">
        <v>386</v>
      </c>
      <c r="M2211" s="13">
        <v>98</v>
      </c>
      <c r="N2211" s="13">
        <v>4</v>
      </c>
      <c r="O2211" s="15"/>
      <c r="P2211" s="6">
        <v>42824.566701388889</v>
      </c>
      <c r="Q2211" s="12"/>
      <c r="R2211" s="19"/>
      <c r="S2211" s="11" t="s">
        <v>4750</v>
      </c>
      <c r="T2211" s="12"/>
      <c r="U2211" s="10" t="str">
        <f>HYPERLINK("https://pbs.twimg.com/profile_images/849621382346534912/rD-7feps.jpg","View")</f>
        <v>View</v>
      </c>
    </row>
    <row r="2212" spans="1:21" ht="40.799999999999997">
      <c r="A2212" s="6">
        <v>43424.561087962968</v>
      </c>
      <c r="B2212" s="7" t="str">
        <f>HYPERLINK("https://twitter.com/120minutosTM","@120minutosTM")</f>
        <v>@120minutosTM</v>
      </c>
      <c r="C2212" s="8" t="s">
        <v>3069</v>
      </c>
      <c r="D2212" s="9" t="s">
        <v>5526</v>
      </c>
      <c r="E2212" s="10" t="str">
        <f>HYPERLINK("https://twitter.com/120minutosTM/status/1064857886436835328","1064857886436835328")</f>
        <v>1064857886436835328</v>
      </c>
      <c r="F2212" s="11" t="s">
        <v>3304</v>
      </c>
      <c r="G2212" s="11" t="s">
        <v>5527</v>
      </c>
      <c r="H2212" s="12"/>
      <c r="I2212" s="13">
        <v>1</v>
      </c>
      <c r="J2212" s="13">
        <v>1</v>
      </c>
      <c r="K2212" s="14" t="str">
        <f>HYPERLINK("http://dogtrack.es","DogTrack_Oficial")</f>
        <v>DogTrack_Oficial</v>
      </c>
      <c r="L2212" s="13">
        <v>1665</v>
      </c>
      <c r="M2212" s="13">
        <v>205</v>
      </c>
      <c r="N2212" s="13">
        <v>18</v>
      </c>
      <c r="O2212" s="15"/>
      <c r="P2212" s="6">
        <v>43129.453402777777</v>
      </c>
      <c r="Q2212" s="16" t="s">
        <v>118</v>
      </c>
      <c r="R2212" s="17" t="s">
        <v>3073</v>
      </c>
      <c r="S2212" s="11" t="s">
        <v>3074</v>
      </c>
      <c r="T2212" s="12"/>
      <c r="U2212" s="10" t="str">
        <f>HYPERLINK("https://pbs.twimg.com/profile_images/1008997691165200384/SMjhDWGJ.jpg","View")</f>
        <v>View</v>
      </c>
    </row>
    <row r="2213" spans="1:21" ht="61.2">
      <c r="A2213" s="6">
        <v>43424.559548611112</v>
      </c>
      <c r="B2213" s="7" t="str">
        <f>HYPERLINK("https://twitter.com/jj4lejandro","@jj4lejandro")</f>
        <v>@jj4lejandro</v>
      </c>
      <c r="C2213" s="8" t="s">
        <v>5318</v>
      </c>
      <c r="D2213" s="9" t="s">
        <v>5528</v>
      </c>
      <c r="E2213" s="10" t="str">
        <f>HYPERLINK("https://twitter.com/jj4lejandro/status/1064857325889048576","1064857325889048576")</f>
        <v>1064857325889048576</v>
      </c>
      <c r="F2213" s="12"/>
      <c r="G2213" s="12"/>
      <c r="H2213" s="12"/>
      <c r="I2213" s="13">
        <v>0</v>
      </c>
      <c r="J2213" s="13">
        <v>0</v>
      </c>
      <c r="K2213" s="14" t="str">
        <f>HYPERLINK("http://twitter.com/download/iphone","Twitter for iPhone")</f>
        <v>Twitter for iPhone</v>
      </c>
      <c r="L2213" s="13">
        <v>155</v>
      </c>
      <c r="M2213" s="13">
        <v>360</v>
      </c>
      <c r="N2213" s="13">
        <v>1</v>
      </c>
      <c r="O2213" s="15"/>
      <c r="P2213" s="6">
        <v>43244.769988425927</v>
      </c>
      <c r="Q2213" s="16" t="s">
        <v>5321</v>
      </c>
      <c r="R2213" s="17" t="s">
        <v>5322</v>
      </c>
      <c r="S2213" s="12"/>
      <c r="T2213" s="12"/>
      <c r="U2213" s="10" t="str">
        <f>HYPERLINK("https://pbs.twimg.com/profile_images/1056022002262269952/ZJnCsVA_.jpg","View")</f>
        <v>View</v>
      </c>
    </row>
    <row r="2214" spans="1:21" ht="81.599999999999994">
      <c r="A2214" s="6">
        <v>43424.558252314819</v>
      </c>
      <c r="B2214" s="7" t="str">
        <f>HYPERLINK("https://twitter.com/fisnacat","@fisnacat")</f>
        <v>@fisnacat</v>
      </c>
      <c r="C2214" s="8" t="s">
        <v>5531</v>
      </c>
      <c r="D2214" s="9" t="s">
        <v>5532</v>
      </c>
      <c r="E2214" s="10" t="str">
        <f>HYPERLINK("https://twitter.com/fisnacat/status/1064856858102571014","1064856858102571014")</f>
        <v>1064856858102571014</v>
      </c>
      <c r="F2214" s="11" t="s">
        <v>5533</v>
      </c>
      <c r="G2214" s="11" t="s">
        <v>5534</v>
      </c>
      <c r="H2214" s="12"/>
      <c r="I2214" s="13">
        <v>0</v>
      </c>
      <c r="J2214" s="13">
        <v>0</v>
      </c>
      <c r="K2214" s="14" t="str">
        <f>HYPERLINK("http://twitter.com","Twitter Web Client")</f>
        <v>Twitter Web Client</v>
      </c>
      <c r="L2214" s="13">
        <v>225</v>
      </c>
      <c r="M2214" s="13">
        <v>670</v>
      </c>
      <c r="N2214" s="13">
        <v>2</v>
      </c>
      <c r="O2214" s="15"/>
      <c r="P2214" s="6">
        <v>40402.951018518521</v>
      </c>
      <c r="Q2214" s="16" t="s">
        <v>5535</v>
      </c>
      <c r="R2214" s="17" t="s">
        <v>5536</v>
      </c>
      <c r="S2214" s="12"/>
      <c r="T2214" s="12"/>
      <c r="U2214" s="10" t="str">
        <f>HYPERLINK("https://pbs.twimg.com/profile_images/944125972688850945/4Gy0hWwR.jpg","View")</f>
        <v>View</v>
      </c>
    </row>
    <row r="2215" spans="1:21" ht="30.6">
      <c r="A2215" s="6">
        <v>43424.556250000001</v>
      </c>
      <c r="B2215" s="7" t="str">
        <f>HYPERLINK("https://twitter.com/ElHuffPost","@ElHuffPost")</f>
        <v>@ElHuffPost</v>
      </c>
      <c r="C2215" s="8" t="s">
        <v>6203</v>
      </c>
      <c r="D2215" s="9" t="s">
        <v>7564</v>
      </c>
      <c r="E2215" s="10" t="str">
        <f>HYPERLINK("https://twitter.com/ElHuffPost/status/1064856131238076416","1064856131238076416")</f>
        <v>1064856131238076416</v>
      </c>
      <c r="F2215" s="11" t="s">
        <v>7481</v>
      </c>
      <c r="G2215" s="12"/>
      <c r="H2215" s="12"/>
      <c r="I2215" s="13">
        <v>1</v>
      </c>
      <c r="J2215" s="13">
        <v>5</v>
      </c>
      <c r="K2215" s="14" t="str">
        <f>HYPERLINK("https://about.twitter.com/products/tweetdeck","TweetDeck")</f>
        <v>TweetDeck</v>
      </c>
      <c r="L2215" s="13">
        <v>430324</v>
      </c>
      <c r="M2215" s="13">
        <v>1532</v>
      </c>
      <c r="N2215" s="13">
        <v>8188</v>
      </c>
      <c r="O2215" s="18" t="s">
        <v>36</v>
      </c>
      <c r="P2215" s="6">
        <v>40785.027118055557</v>
      </c>
      <c r="Q2215" s="16" t="s">
        <v>440</v>
      </c>
      <c r="R2215" s="17" t="s">
        <v>6205</v>
      </c>
      <c r="S2215" s="11" t="s">
        <v>6206</v>
      </c>
      <c r="T2215" s="12"/>
      <c r="U2215" s="10" t="str">
        <f>HYPERLINK("https://pbs.twimg.com/profile_images/921140803422089217/ETOEUOAx.jpg","View")</f>
        <v>View</v>
      </c>
    </row>
    <row r="2216" spans="1:21" ht="51">
      <c r="A2216" s="6">
        <v>43424.554756944446</v>
      </c>
      <c r="B2216" s="7" t="str">
        <f>HYPERLINK("https://twitter.com/alejandra52","@alejandra52")</f>
        <v>@alejandra52</v>
      </c>
      <c r="C2216" s="8" t="s">
        <v>5537</v>
      </c>
      <c r="D2216" s="9" t="s">
        <v>5538</v>
      </c>
      <c r="E2216" s="10" t="str">
        <f>HYPERLINK("https://twitter.com/alejandra52/status/1064855591221452800","1064855591221452800")</f>
        <v>1064855591221452800</v>
      </c>
      <c r="F2216" s="11" t="s">
        <v>5539</v>
      </c>
      <c r="G2216" s="11" t="s">
        <v>5540</v>
      </c>
      <c r="H2216" s="12"/>
      <c r="I2216" s="13">
        <v>1</v>
      </c>
      <c r="J2216" s="13">
        <v>1</v>
      </c>
      <c r="K2216" s="14" t="str">
        <f>HYPERLINK("http://twitter.com/download/android","Twitter for Android")</f>
        <v>Twitter for Android</v>
      </c>
      <c r="L2216" s="13">
        <v>3718</v>
      </c>
      <c r="M2216" s="13">
        <v>3754</v>
      </c>
      <c r="N2216" s="13">
        <v>53</v>
      </c>
      <c r="O2216" s="15"/>
      <c r="P2216" s="6">
        <v>40303.734606481477</v>
      </c>
      <c r="Q2216" s="16" t="s">
        <v>331</v>
      </c>
      <c r="R2216" s="17" t="s">
        <v>5542</v>
      </c>
      <c r="S2216" s="12"/>
      <c r="T2216" s="12"/>
      <c r="U2216" s="10" t="str">
        <f>HYPERLINK("https://pbs.twimg.com/profile_images/1042413787041746954/LOuu9CvM.jpg","View")</f>
        <v>View</v>
      </c>
    </row>
    <row r="2217" spans="1:21" ht="51">
      <c r="A2217" s="6">
        <v>43424.552210648151</v>
      </c>
      <c r="B2217" s="7" t="str">
        <f>HYPERLINK("https://twitter.com/VotaCiudadanos","@VotaCiudadanos")</f>
        <v>@VotaCiudadanos</v>
      </c>
      <c r="C2217" s="8" t="s">
        <v>1629</v>
      </c>
      <c r="D2217" s="9" t="s">
        <v>7565</v>
      </c>
      <c r="E2217" s="10" t="str">
        <f>HYPERLINK("https://twitter.com/VotaCiudadanos/status/1064854666557706241","1064854666557706241")</f>
        <v>1064854666557706241</v>
      </c>
      <c r="F2217" s="11" t="s">
        <v>7566</v>
      </c>
      <c r="G2217" s="12"/>
      <c r="H2217" s="12"/>
      <c r="I2217" s="13">
        <v>11</v>
      </c>
      <c r="J2217" s="13">
        <v>10</v>
      </c>
      <c r="K2217" s="14" t="str">
        <f t="shared" ref="K2217:K2218" si="467">HYPERLINK("http://twitter.com","Twitter Web Client")</f>
        <v>Twitter Web Client</v>
      </c>
      <c r="L2217" s="13">
        <v>1870</v>
      </c>
      <c r="M2217" s="13">
        <v>198</v>
      </c>
      <c r="N2217" s="13">
        <v>26</v>
      </c>
      <c r="O2217" s="15"/>
      <c r="P2217" s="6">
        <v>42318.889432870375</v>
      </c>
      <c r="Q2217" s="16" t="s">
        <v>1635</v>
      </c>
      <c r="R2217" s="17" t="s">
        <v>1636</v>
      </c>
      <c r="S2217" s="11" t="s">
        <v>473</v>
      </c>
      <c r="T2217" s="12"/>
      <c r="U2217" s="10" t="str">
        <f>HYPERLINK("https://pbs.twimg.com/profile_images/948620265965215745/eZupLWK2.jpg","View")</f>
        <v>View</v>
      </c>
    </row>
    <row r="2218" spans="1:21" ht="51">
      <c r="A2218" s="6">
        <v>43424.548495370371</v>
      </c>
      <c r="B2218" s="7" t="str">
        <f>HYPERLINK("https://twitter.com/Miguel_H_C","@Miguel_H_C")</f>
        <v>@Miguel_H_C</v>
      </c>
      <c r="C2218" s="8" t="s">
        <v>347</v>
      </c>
      <c r="D2218" s="9" t="s">
        <v>5543</v>
      </c>
      <c r="E2218" s="10" t="str">
        <f>HYPERLINK("https://twitter.com/Miguel_H_C/status/1064853322472005632","1064853322472005632")</f>
        <v>1064853322472005632</v>
      </c>
      <c r="F2218" s="11" t="s">
        <v>5544</v>
      </c>
      <c r="G2218" s="12"/>
      <c r="H2218" s="12"/>
      <c r="I2218" s="13">
        <v>1</v>
      </c>
      <c r="J2218" s="13">
        <v>1</v>
      </c>
      <c r="K2218" s="14" t="str">
        <f t="shared" si="467"/>
        <v>Twitter Web Client</v>
      </c>
      <c r="L2218" s="13">
        <v>826</v>
      </c>
      <c r="M2218" s="13">
        <v>349</v>
      </c>
      <c r="N2218" s="13">
        <v>8</v>
      </c>
      <c r="O2218" s="15"/>
      <c r="P2218" s="6">
        <v>40816.839016203703</v>
      </c>
      <c r="Q2218" s="16" t="s">
        <v>351</v>
      </c>
      <c r="R2218" s="19"/>
      <c r="S2218" s="12"/>
      <c r="T2218" s="12"/>
      <c r="U2218" s="10" t="str">
        <f>HYPERLINK("https://pbs.twimg.com/profile_images/997011182736302081/6PYtWK2Y.jpg","View")</f>
        <v>View</v>
      </c>
    </row>
    <row r="2219" spans="1:21" ht="40.799999999999997">
      <c r="A2219" s="6">
        <v>43424.543113425927</v>
      </c>
      <c r="B2219" s="7" t="str">
        <f>HYPERLINK("https://twitter.com/PlenoSenado","@PlenoSenado")</f>
        <v>@PlenoSenado</v>
      </c>
      <c r="C2219" s="8" t="s">
        <v>7567</v>
      </c>
      <c r="D2219" s="9" t="s">
        <v>5033</v>
      </c>
      <c r="E2219" s="10" t="str">
        <f>HYPERLINK("https://twitter.com/PlenoSenado/status/1064851371982151680","1064851371982151680")</f>
        <v>1064851371982151680</v>
      </c>
      <c r="F2219" s="11" t="s">
        <v>7568</v>
      </c>
      <c r="G2219" s="11" t="s">
        <v>7569</v>
      </c>
      <c r="H2219" s="12"/>
      <c r="I2219" s="13">
        <v>0</v>
      </c>
      <c r="J2219" s="13">
        <v>0</v>
      </c>
      <c r="K2219" s="14" t="str">
        <f>HYPERLINK("https://dlvrit.com/","dlvr.it")</f>
        <v>dlvr.it</v>
      </c>
      <c r="L2219" s="13">
        <v>108</v>
      </c>
      <c r="M2219" s="13">
        <v>292</v>
      </c>
      <c r="N2219" s="13">
        <v>4</v>
      </c>
      <c r="O2219" s="15"/>
      <c r="P2219" s="6">
        <v>42810.882986111115</v>
      </c>
      <c r="Q2219" s="16" t="s">
        <v>37</v>
      </c>
      <c r="R2219" s="17" t="s">
        <v>7570</v>
      </c>
      <c r="S2219" s="12"/>
      <c r="T2219" s="12"/>
      <c r="U2219" s="10" t="str">
        <f>HYPERLINK("https://pbs.twimg.com/profile_images/899320773395001344/0RfVoy-p.jpg","View")</f>
        <v>View</v>
      </c>
    </row>
    <row r="2220" spans="1:21" ht="51">
      <c r="A2220" s="6">
        <v>43424.54305555555</v>
      </c>
      <c r="B2220" s="7" t="str">
        <f>HYPERLINK("https://twitter.com/bitMomentum","@bitMomentum")</f>
        <v>@bitMomentum</v>
      </c>
      <c r="C2220" s="8" t="s">
        <v>706</v>
      </c>
      <c r="D2220" s="9" t="s">
        <v>5547</v>
      </c>
      <c r="E2220" s="10" t="str">
        <f>HYPERLINK("https://twitter.com/bitMomentum/status/1064851348821282822","1064851348821282822")</f>
        <v>1064851348821282822</v>
      </c>
      <c r="F2220" s="12"/>
      <c r="G2220" s="12"/>
      <c r="H2220" s="12"/>
      <c r="I2220" s="13">
        <v>0</v>
      </c>
      <c r="J2220" s="13">
        <v>0</v>
      </c>
      <c r="K2220" s="14" t="str">
        <f>HYPERLINK("http://www.bitmomentum.com","bitMomentum Bot")</f>
        <v>bitMomentum Bot</v>
      </c>
      <c r="L2220" s="13">
        <v>10132</v>
      </c>
      <c r="M2220" s="13">
        <v>1060</v>
      </c>
      <c r="N2220" s="13">
        <v>262</v>
      </c>
      <c r="O2220" s="15"/>
      <c r="P2220" s="6">
        <v>41608.667511574073</v>
      </c>
      <c r="Q2220" s="12"/>
      <c r="R2220" s="17" t="s">
        <v>708</v>
      </c>
      <c r="S2220" s="11" t="s">
        <v>709</v>
      </c>
      <c r="T2220" s="12"/>
      <c r="U2220" s="10" t="str">
        <f>HYPERLINK("https://pbs.twimg.com/profile_images/378800000862185241/20ij2H3u.png","View")</f>
        <v>View</v>
      </c>
    </row>
    <row r="2221" spans="1:21" ht="71.400000000000006">
      <c r="A2221" s="6">
        <v>43424.542858796296</v>
      </c>
      <c r="B2221" s="7" t="str">
        <f>HYPERLINK("https://twitter.com/clasicoco","@clasicoco")</f>
        <v>@clasicoco</v>
      </c>
      <c r="C2221" s="8" t="s">
        <v>5548</v>
      </c>
      <c r="D2221" s="9" t="s">
        <v>5549</v>
      </c>
      <c r="E2221" s="10" t="str">
        <f>HYPERLINK("https://twitter.com/clasicoco/status/1064851279388782593","1064851279388782593")</f>
        <v>1064851279388782593</v>
      </c>
      <c r="F2221" s="16" t="s">
        <v>5550</v>
      </c>
      <c r="G2221" s="12"/>
      <c r="H2221" s="12"/>
      <c r="I2221" s="13">
        <v>0</v>
      </c>
      <c r="J2221" s="13">
        <v>1</v>
      </c>
      <c r="K2221" s="14" t="str">
        <f>HYPERLINK("http://twitter.com/download/iphone","Twitter for iPhone")</f>
        <v>Twitter for iPhone</v>
      </c>
      <c r="L2221" s="13">
        <v>432</v>
      </c>
      <c r="M2221" s="13">
        <v>481</v>
      </c>
      <c r="N2221" s="13">
        <v>5</v>
      </c>
      <c r="O2221" s="15"/>
      <c r="P2221" s="6">
        <v>40246.678402777776</v>
      </c>
      <c r="Q2221" s="16" t="s">
        <v>5551</v>
      </c>
      <c r="R2221" s="17" t="s">
        <v>5552</v>
      </c>
      <c r="S2221" s="11" t="s">
        <v>5553</v>
      </c>
      <c r="T2221" s="12"/>
      <c r="U2221" s="10" t="str">
        <f>HYPERLINK("https://pbs.twimg.com/profile_images/944616430812762113/q_WuIeT2.jpg","View")</f>
        <v>View</v>
      </c>
    </row>
    <row r="2222" spans="1:21" ht="40.799999999999997">
      <c r="A2222" s="6">
        <v>43424.54277777778</v>
      </c>
      <c r="B2222" s="7" t="str">
        <f>HYPERLINK("https://twitter.com/ricard0miranda","@ricard0miranda")</f>
        <v>@ricard0miranda</v>
      </c>
      <c r="C2222" s="8" t="s">
        <v>7571</v>
      </c>
      <c r="D2222" s="9" t="s">
        <v>7572</v>
      </c>
      <c r="E2222" s="10" t="str">
        <f>HYPERLINK("https://twitter.com/ricard0miranda/status/1064851250594885632","1064851250594885632")</f>
        <v>1064851250594885632</v>
      </c>
      <c r="F2222" s="11" t="s">
        <v>7058</v>
      </c>
      <c r="G2222" s="12"/>
      <c r="H2222" s="12"/>
      <c r="I2222" s="13">
        <v>0</v>
      </c>
      <c r="J2222" s="13">
        <v>0</v>
      </c>
      <c r="K2222" s="14" t="str">
        <f>HYPERLINK("http://twitter.com","Twitter Web Client")</f>
        <v>Twitter Web Client</v>
      </c>
      <c r="L2222" s="13">
        <v>253</v>
      </c>
      <c r="M2222" s="13">
        <v>296</v>
      </c>
      <c r="N2222" s="13">
        <v>2</v>
      </c>
      <c r="O2222" s="15"/>
      <c r="P2222" s="6">
        <v>40423.535497685181</v>
      </c>
      <c r="Q2222" s="16" t="s">
        <v>290</v>
      </c>
      <c r="R2222" s="17" t="s">
        <v>7573</v>
      </c>
      <c r="S2222" s="12"/>
      <c r="T2222" s="12"/>
      <c r="U2222" s="10" t="str">
        <f>HYPERLINK("https://pbs.twimg.com/profile_images/985119495252475906/0gRndtys.jpg","View")</f>
        <v>View</v>
      </c>
    </row>
    <row r="2223" spans="1:21" ht="40.799999999999997">
      <c r="A2223" s="6">
        <v>43424.542361111111</v>
      </c>
      <c r="B2223" s="7" t="str">
        <f>HYPERLINK("https://twitter.com/bitMomentum","@bitMomentum")</f>
        <v>@bitMomentum</v>
      </c>
      <c r="C2223" s="8" t="s">
        <v>706</v>
      </c>
      <c r="D2223" s="9" t="s">
        <v>5556</v>
      </c>
      <c r="E2223" s="10" t="str">
        <f>HYPERLINK("https://twitter.com/bitMomentum/status/1064851097100136453","1064851097100136453")</f>
        <v>1064851097100136453</v>
      </c>
      <c r="F2223" s="12"/>
      <c r="G2223" s="12"/>
      <c r="H2223" s="12"/>
      <c r="I2223" s="13">
        <v>0</v>
      </c>
      <c r="J2223" s="13">
        <v>2</v>
      </c>
      <c r="K2223" s="14" t="str">
        <f>HYPERLINK("http://www.bitmomentum.com","bitMomentum Bot")</f>
        <v>bitMomentum Bot</v>
      </c>
      <c r="L2223" s="13">
        <v>10132</v>
      </c>
      <c r="M2223" s="13">
        <v>1060</v>
      </c>
      <c r="N2223" s="13">
        <v>262</v>
      </c>
      <c r="O2223" s="15"/>
      <c r="P2223" s="6">
        <v>41608.667511574073</v>
      </c>
      <c r="Q2223" s="12"/>
      <c r="R2223" s="17" t="s">
        <v>708</v>
      </c>
      <c r="S2223" s="11" t="s">
        <v>709</v>
      </c>
      <c r="T2223" s="12"/>
      <c r="U2223" s="10" t="str">
        <f>HYPERLINK("https://pbs.twimg.com/profile_images/378800000862185241/20ij2H3u.png","View")</f>
        <v>View</v>
      </c>
    </row>
    <row r="2224" spans="1:21" ht="30.6">
      <c r="A2224" s="6">
        <v>43424.539583333331</v>
      </c>
      <c r="B2224" s="7" t="str">
        <f>HYPERLINK("https://twitter.com/CiudadanosCs","@CiudadanosCs")</f>
        <v>@CiudadanosCs</v>
      </c>
      <c r="C2224" s="8" t="s">
        <v>196</v>
      </c>
      <c r="D2224" s="9" t="s">
        <v>5557</v>
      </c>
      <c r="E2224" s="10" t="str">
        <f>HYPERLINK("https://twitter.com/CiudadanosCs/status/1064850092526657537","1064850092526657537")</f>
        <v>1064850092526657537</v>
      </c>
      <c r="F2224" s="12"/>
      <c r="G2224" s="11" t="s">
        <v>5558</v>
      </c>
      <c r="H2224" s="12"/>
      <c r="I2224" s="13">
        <v>14</v>
      </c>
      <c r="J2224" s="13">
        <v>21</v>
      </c>
      <c r="K2224" s="14" t="str">
        <f t="shared" ref="K2224:K2225" si="468">HYPERLINK("http://twitter.com","Twitter Web Client")</f>
        <v>Twitter Web Client</v>
      </c>
      <c r="L2224" s="13">
        <v>486503</v>
      </c>
      <c r="M2224" s="13">
        <v>93653</v>
      </c>
      <c r="N2224" s="13">
        <v>3318</v>
      </c>
      <c r="O2224" s="18" t="s">
        <v>36</v>
      </c>
      <c r="P2224" s="6">
        <v>39828.753460648149</v>
      </c>
      <c r="Q2224" s="16" t="s">
        <v>37</v>
      </c>
      <c r="R2224" s="17" t="s">
        <v>202</v>
      </c>
      <c r="S2224" s="11" t="s">
        <v>203</v>
      </c>
      <c r="T2224" s="12"/>
      <c r="U2224" s="10" t="str">
        <f>HYPERLINK("https://pbs.twimg.com/profile_images/1053554096161075200/1z77_zBZ.jpg","View")</f>
        <v>View</v>
      </c>
    </row>
    <row r="2225" spans="1:21" ht="51">
      <c r="A2225" s="6">
        <v>43424.539548611108</v>
      </c>
      <c r="B2225" s="7" t="str">
        <f>HYPERLINK("https://twitter.com/Juanv_cosin","@Juanv_cosin")</f>
        <v>@Juanv_cosin</v>
      </c>
      <c r="C2225" s="8" t="s">
        <v>5561</v>
      </c>
      <c r="D2225" s="9" t="s">
        <v>5562</v>
      </c>
      <c r="E2225" s="10" t="str">
        <f>HYPERLINK("https://twitter.com/Juanv_cosin/status/1064850079335497728","1064850079335497728")</f>
        <v>1064850079335497728</v>
      </c>
      <c r="F2225" s="12"/>
      <c r="G2225" s="11" t="s">
        <v>5564</v>
      </c>
      <c r="H2225" s="12"/>
      <c r="I2225" s="13">
        <v>10</v>
      </c>
      <c r="J2225" s="13">
        <v>10</v>
      </c>
      <c r="K2225" s="14" t="str">
        <f t="shared" si="468"/>
        <v>Twitter Web Client</v>
      </c>
      <c r="L2225" s="13">
        <v>7085</v>
      </c>
      <c r="M2225" s="13">
        <v>7319</v>
      </c>
      <c r="N2225" s="13">
        <v>14</v>
      </c>
      <c r="O2225" s="15"/>
      <c r="P2225" s="6">
        <v>43115.752800925926</v>
      </c>
      <c r="Q2225" s="16" t="s">
        <v>189</v>
      </c>
      <c r="R2225" s="17" t="s">
        <v>5566</v>
      </c>
      <c r="S2225" s="12"/>
      <c r="T2225" s="12"/>
      <c r="U2225" s="10" t="str">
        <f>HYPERLINK("https://pbs.twimg.com/profile_images/952952823259586560/ayyKydKk.jpg","View")</f>
        <v>View</v>
      </c>
    </row>
    <row r="2226" spans="1:21" ht="30.6">
      <c r="A2226" s="6">
        <v>43424.536134259259</v>
      </c>
      <c r="B2226" s="7" t="str">
        <f>HYPERLINK("https://twitter.com/Lanzadigital","@Lanzadigital")</f>
        <v>@Lanzadigital</v>
      </c>
      <c r="C2226" s="8" t="s">
        <v>7574</v>
      </c>
      <c r="D2226" s="9" t="s">
        <v>7575</v>
      </c>
      <c r="E2226" s="10" t="str">
        <f>HYPERLINK("https://twitter.com/Lanzadigital/status/1064848841298640898","1064848841298640898")</f>
        <v>1064848841298640898</v>
      </c>
      <c r="F2226" s="11" t="s">
        <v>7548</v>
      </c>
      <c r="G2226" s="12"/>
      <c r="H2226" s="12"/>
      <c r="I2226" s="13">
        <v>0</v>
      </c>
      <c r="J2226" s="13">
        <v>0</v>
      </c>
      <c r="K2226" s="14" t="str">
        <f>HYPERLINK("http://www.lanzadigital.com","LanzaDigital NEWS")</f>
        <v>LanzaDigital NEWS</v>
      </c>
      <c r="L2226" s="13">
        <v>12749</v>
      </c>
      <c r="M2226" s="13">
        <v>1567</v>
      </c>
      <c r="N2226" s="13">
        <v>208</v>
      </c>
      <c r="O2226" s="15"/>
      <c r="P2226" s="6">
        <v>40640.484502314815</v>
      </c>
      <c r="Q2226" s="16" t="s">
        <v>37</v>
      </c>
      <c r="R2226" s="17" t="s">
        <v>7576</v>
      </c>
      <c r="S2226" s="11" t="s">
        <v>7577</v>
      </c>
      <c r="T2226" s="12"/>
      <c r="U2226" s="10" t="str">
        <f>HYPERLINK("https://pbs.twimg.com/profile_images/865034959630856193/BnjZPHzq.jpg","View")</f>
        <v>View</v>
      </c>
    </row>
    <row r="2227" spans="1:21" ht="40.799999999999997">
      <c r="A2227" s="6">
        <v>43424.536111111112</v>
      </c>
      <c r="B2227" s="7" t="str">
        <f>HYPERLINK("https://twitter.com/TopInfluencer_","@TopInfluencer_")</f>
        <v>@TopInfluencer_</v>
      </c>
      <c r="C2227" s="8" t="s">
        <v>5569</v>
      </c>
      <c r="D2227" s="9" t="s">
        <v>5570</v>
      </c>
      <c r="E2227" s="10" t="str">
        <f>HYPERLINK("https://twitter.com/TopInfluencer_/status/1064848833597853700","1064848833597853700")</f>
        <v>1064848833597853700</v>
      </c>
      <c r="F2227" s="11" t="s">
        <v>5572</v>
      </c>
      <c r="G2227" s="12"/>
      <c r="H2227" s="12"/>
      <c r="I2227" s="13">
        <v>0</v>
      </c>
      <c r="J2227" s="13">
        <v>0</v>
      </c>
      <c r="K2227" s="14" t="str">
        <f>HYPERLINK("http://topinfluencers.es/","Kteam Writer")</f>
        <v>Kteam Writer</v>
      </c>
      <c r="L2227" s="13">
        <v>11902</v>
      </c>
      <c r="M2227" s="13">
        <v>6180</v>
      </c>
      <c r="N2227" s="13">
        <v>639</v>
      </c>
      <c r="O2227" s="15"/>
      <c r="P2227" s="6">
        <v>41708.066643518519</v>
      </c>
      <c r="Q2227" s="16" t="s">
        <v>37</v>
      </c>
      <c r="R2227" s="17" t="s">
        <v>5576</v>
      </c>
      <c r="S2227" s="11" t="s">
        <v>5577</v>
      </c>
      <c r="T2227" s="12"/>
      <c r="U2227" s="10" t="str">
        <f>HYPERLINK("https://pbs.twimg.com/profile_images/442824528939347968/7ZyrXyCa.png","View")</f>
        <v>View</v>
      </c>
    </row>
    <row r="2228" spans="1:21" ht="40.799999999999997">
      <c r="A2228" s="6">
        <v>43424.532280092593</v>
      </c>
      <c r="B2228" s="7" t="str">
        <f>HYPERLINK("https://twitter.com/amarlos71","@amarlos71")</f>
        <v>@amarlos71</v>
      </c>
      <c r="C2228" s="8" t="s">
        <v>3168</v>
      </c>
      <c r="D2228" s="9" t="s">
        <v>5578</v>
      </c>
      <c r="E2228" s="10" t="str">
        <f>HYPERLINK("https://twitter.com/amarlos71/status/1064847444280791041","1064847444280791041")</f>
        <v>1064847444280791041</v>
      </c>
      <c r="F2228" s="12"/>
      <c r="G2228" s="11" t="s">
        <v>5579</v>
      </c>
      <c r="H2228" s="12"/>
      <c r="I2228" s="13">
        <v>24</v>
      </c>
      <c r="J2228" s="13">
        <v>26</v>
      </c>
      <c r="K2228" s="14" t="str">
        <f>HYPERLINK("http://twitter.com/download/iphone","Twitter for iPhone")</f>
        <v>Twitter for iPhone</v>
      </c>
      <c r="L2228" s="13">
        <v>2078</v>
      </c>
      <c r="M2228" s="13">
        <v>2050</v>
      </c>
      <c r="N2228" s="13">
        <v>29</v>
      </c>
      <c r="O2228" s="15"/>
      <c r="P2228" s="6">
        <v>41350.86341435185</v>
      </c>
      <c r="Q2228" s="16" t="s">
        <v>3172</v>
      </c>
      <c r="R2228" s="17" t="s">
        <v>3173</v>
      </c>
      <c r="S2228" s="12"/>
      <c r="T2228" s="12"/>
      <c r="U2228" s="10" t="str">
        <f>HYPERLINK("https://pbs.twimg.com/profile_images/1036210183578509312/5zL3_N0I.jpg","View")</f>
        <v>View</v>
      </c>
    </row>
    <row r="2229" spans="1:21" ht="91.8">
      <c r="A2229" s="6">
        <v>43424.531805555554</v>
      </c>
      <c r="B2229" s="7" t="str">
        <f>HYPERLINK("https://twitter.com/AuroraVillegas","@AuroraVillegas")</f>
        <v>@AuroraVillegas</v>
      </c>
      <c r="C2229" s="8" t="s">
        <v>5580</v>
      </c>
      <c r="D2229" s="9" t="s">
        <v>5581</v>
      </c>
      <c r="E2229" s="10" t="str">
        <f>HYPERLINK("https://twitter.com/AuroraVillegas/status/1064847271664201728","1064847271664201728")</f>
        <v>1064847271664201728</v>
      </c>
      <c r="F2229" s="11" t="s">
        <v>5467</v>
      </c>
      <c r="G2229" s="11" t="s">
        <v>5468</v>
      </c>
      <c r="H2229" s="12"/>
      <c r="I2229" s="13">
        <v>2</v>
      </c>
      <c r="J2229" s="13">
        <v>3</v>
      </c>
      <c r="K2229" s="14" t="str">
        <f>HYPERLINK("http://twitter.com/download/android","Twitter for Android")</f>
        <v>Twitter for Android</v>
      </c>
      <c r="L2229" s="13">
        <v>36</v>
      </c>
      <c r="M2229" s="13">
        <v>60</v>
      </c>
      <c r="N2229" s="13">
        <v>0</v>
      </c>
      <c r="O2229" s="15"/>
      <c r="P2229" s="6">
        <v>40609.920486111107</v>
      </c>
      <c r="Q2229" s="16" t="s">
        <v>366</v>
      </c>
      <c r="R2229" s="19"/>
      <c r="S2229" s="12"/>
      <c r="T2229" s="12"/>
      <c r="U2229" s="10" t="str">
        <f>HYPERLINK("https://pbs.twimg.com/profile_images/1037457443557724160/T1-Ejr1s.jpg","View")</f>
        <v>View</v>
      </c>
    </row>
    <row r="2230" spans="1:21" ht="40.799999999999997">
      <c r="A2230" s="6">
        <v>43424.53087962963</v>
      </c>
      <c r="B2230" s="7" t="str">
        <f>HYPERLINK("https://twitter.com/JC_Villanueva","@JC_Villanueva")</f>
        <v>@JC_Villanueva</v>
      </c>
      <c r="C2230" s="8" t="s">
        <v>6689</v>
      </c>
      <c r="D2230" s="9" t="s">
        <v>7057</v>
      </c>
      <c r="E2230" s="10" t="str">
        <f>HYPERLINK("https://twitter.com/JC_Villanueva/status/1064846936824586240","1064846936824586240")</f>
        <v>1064846936824586240</v>
      </c>
      <c r="F2230" s="11" t="s">
        <v>7058</v>
      </c>
      <c r="G2230" s="12"/>
      <c r="H2230" s="12"/>
      <c r="I2230" s="13">
        <v>0</v>
      </c>
      <c r="J2230" s="13">
        <v>0</v>
      </c>
      <c r="K2230" s="14" t="str">
        <f>HYPERLINK("http://twitter.com","Twitter Web Client")</f>
        <v>Twitter Web Client</v>
      </c>
      <c r="L2230" s="13">
        <v>10345</v>
      </c>
      <c r="M2230" s="13">
        <v>2376</v>
      </c>
      <c r="N2230" s="13">
        <v>298</v>
      </c>
      <c r="O2230" s="15"/>
      <c r="P2230" s="6">
        <v>40227.868229166663</v>
      </c>
      <c r="Q2230" s="16" t="s">
        <v>6690</v>
      </c>
      <c r="R2230" s="17" t="s">
        <v>6691</v>
      </c>
      <c r="S2230" s="11" t="s">
        <v>6692</v>
      </c>
      <c r="T2230" s="12"/>
      <c r="U2230" s="10" t="str">
        <f>HYPERLINK("https://pbs.twimg.com/profile_images/937793745386459136/rC7eLIli.jpg","View")</f>
        <v>View</v>
      </c>
    </row>
    <row r="2231" spans="1:21" ht="13.2">
      <c r="A2231" s="6">
        <v>43424.530729166669</v>
      </c>
      <c r="B2231" s="7" t="str">
        <f>HYPERLINK("https://twitter.com/RocioRomeroC","@RocioRomeroC")</f>
        <v>@RocioRomeroC</v>
      </c>
      <c r="C2231" s="8" t="s">
        <v>7578</v>
      </c>
      <c r="D2231" s="9" t="s">
        <v>7579</v>
      </c>
      <c r="E2231" s="10" t="str">
        <f>HYPERLINK("https://twitter.com/RocioRomeroC/status/1064846882537652224","1064846882537652224")</f>
        <v>1064846882537652224</v>
      </c>
      <c r="F2231" s="12"/>
      <c r="G2231" s="11" t="s">
        <v>7580</v>
      </c>
      <c r="H2231" s="12"/>
      <c r="I2231" s="13">
        <v>2</v>
      </c>
      <c r="J2231" s="13">
        <v>4</v>
      </c>
      <c r="K2231" s="14" t="str">
        <f t="shared" ref="K2231:K2235" si="469">HYPERLINK("http://twitter.com/download/android","Twitter for Android")</f>
        <v>Twitter for Android</v>
      </c>
      <c r="L2231" s="13">
        <v>611</v>
      </c>
      <c r="M2231" s="13">
        <v>604</v>
      </c>
      <c r="N2231" s="13">
        <v>15</v>
      </c>
      <c r="O2231" s="15"/>
      <c r="P2231" s="6">
        <v>40532.853043981479</v>
      </c>
      <c r="Q2231" s="16" t="s">
        <v>7581</v>
      </c>
      <c r="R2231" s="30">
        <v>34752</v>
      </c>
      <c r="S2231" s="12"/>
      <c r="T2231" s="12"/>
      <c r="U2231" s="10" t="str">
        <f>HYPERLINK("https://pbs.twimg.com/profile_images/996123674624364545/lgS8UJS3.jpg","View")</f>
        <v>View</v>
      </c>
    </row>
    <row r="2232" spans="1:21" ht="61.2">
      <c r="A2232" s="6">
        <v>43424.528692129628</v>
      </c>
      <c r="B2232" s="7" t="str">
        <f>HYPERLINK("https://twitter.com/LuisBatteman","@LuisBatteman")</f>
        <v>@LuisBatteman</v>
      </c>
      <c r="C2232" s="8" t="s">
        <v>769</v>
      </c>
      <c r="D2232" s="9" t="s">
        <v>5582</v>
      </c>
      <c r="E2232" s="10" t="str">
        <f>HYPERLINK("https://twitter.com/LuisBatteman/status/1064846144776400897","1064846144776400897")</f>
        <v>1064846144776400897</v>
      </c>
      <c r="F2232" s="11" t="s">
        <v>5583</v>
      </c>
      <c r="G2232" s="11" t="s">
        <v>5584</v>
      </c>
      <c r="H2232" s="12"/>
      <c r="I2232" s="13">
        <v>1</v>
      </c>
      <c r="J2232" s="13">
        <v>0</v>
      </c>
      <c r="K2232" s="14" t="str">
        <f t="shared" si="469"/>
        <v>Twitter for Android</v>
      </c>
      <c r="L2232" s="13">
        <v>1731</v>
      </c>
      <c r="M2232" s="13">
        <v>2195</v>
      </c>
      <c r="N2232" s="13">
        <v>31</v>
      </c>
      <c r="O2232" s="15"/>
      <c r="P2232" s="6">
        <v>40122.007476851853</v>
      </c>
      <c r="Q2232" s="16" t="s">
        <v>774</v>
      </c>
      <c r="R2232" s="17" t="s">
        <v>775</v>
      </c>
      <c r="S2232" s="12"/>
      <c r="T2232" s="12"/>
      <c r="U2232" s="10" t="str">
        <f>HYPERLINK("https://pbs.twimg.com/profile_images/730904453025546242/36bcf-X7.jpg","View")</f>
        <v>View</v>
      </c>
    </row>
    <row r="2233" spans="1:21" ht="40.799999999999997">
      <c r="A2233" s="6">
        <v>43424.528587962966</v>
      </c>
      <c r="B2233" s="7" t="str">
        <f>HYPERLINK("https://twitter.com/BUGRARE","@BUGRARE")</f>
        <v>@BUGRARE</v>
      </c>
      <c r="C2233" s="8" t="s">
        <v>7582</v>
      </c>
      <c r="D2233" s="9" t="s">
        <v>7583</v>
      </c>
      <c r="E2233" s="10" t="str">
        <f>HYPERLINK("https://twitter.com/BUGRARE/status/1064846105987420160","1064846105987420160")</f>
        <v>1064846105987420160</v>
      </c>
      <c r="F2233" s="12"/>
      <c r="G2233" s="12"/>
      <c r="H2233" s="12"/>
      <c r="I2233" s="13">
        <v>0</v>
      </c>
      <c r="J2233" s="13">
        <v>0</v>
      </c>
      <c r="K2233" s="14" t="str">
        <f t="shared" si="469"/>
        <v>Twitter for Android</v>
      </c>
      <c r="L2233" s="13">
        <v>2754</v>
      </c>
      <c r="M2233" s="13">
        <v>2587</v>
      </c>
      <c r="N2233" s="13">
        <v>16</v>
      </c>
      <c r="O2233" s="15"/>
      <c r="P2233" s="6">
        <v>41414.379780092597</v>
      </c>
      <c r="Q2233" s="16" t="s">
        <v>7584</v>
      </c>
      <c r="R2233" s="17" t="s">
        <v>7585</v>
      </c>
      <c r="S2233" s="12"/>
      <c r="T2233" s="12"/>
      <c r="U2233" s="10" t="str">
        <f>HYPERLINK("https://pbs.twimg.com/profile_images/969566421171818497/Qc1gs8v2.jpg","View")</f>
        <v>View</v>
      </c>
    </row>
    <row r="2234" spans="1:21" ht="20.399999999999999">
      <c r="A2234" s="6">
        <v>43424.528078703705</v>
      </c>
      <c r="B2234" s="7" t="str">
        <f t="shared" ref="B2234:B2235" si="470">HYPERLINK("https://twitter.com/MarioAvils1","@MarioAvils1")</f>
        <v>@MarioAvils1</v>
      </c>
      <c r="C2234" s="8" t="s">
        <v>7586</v>
      </c>
      <c r="D2234" s="9" t="s">
        <v>7587</v>
      </c>
      <c r="E2234" s="10" t="str">
        <f>HYPERLINK("https://twitter.com/MarioAvils1/status/1064845922557935617","1064845922557935617")</f>
        <v>1064845922557935617</v>
      </c>
      <c r="F2234" s="11" t="s">
        <v>7588</v>
      </c>
      <c r="G2234" s="12"/>
      <c r="H2234" s="12"/>
      <c r="I2234" s="13">
        <v>0</v>
      </c>
      <c r="J2234" s="13">
        <v>0</v>
      </c>
      <c r="K2234" s="14" t="str">
        <f t="shared" si="469"/>
        <v>Twitter for Android</v>
      </c>
      <c r="L2234" s="13">
        <v>56</v>
      </c>
      <c r="M2234" s="13">
        <v>63</v>
      </c>
      <c r="N2234" s="13">
        <v>3</v>
      </c>
      <c r="O2234" s="15"/>
      <c r="P2234" s="6">
        <v>42391.927175925928</v>
      </c>
      <c r="Q2234" s="16" t="s">
        <v>7589</v>
      </c>
      <c r="R2234" s="17" t="s">
        <v>7590</v>
      </c>
      <c r="S2234" s="12"/>
      <c r="T2234" s="12"/>
      <c r="U2234" s="10" t="str">
        <f t="shared" ref="U2234:U2235" si="471">HYPERLINK("https://pbs.twimg.com/profile_images/713803395056934912/Hu2PmfYy.jpg","View")</f>
        <v>View</v>
      </c>
    </row>
    <row r="2235" spans="1:21" ht="30.6">
      <c r="A2235" s="6">
        <v>43424.527812500004</v>
      </c>
      <c r="B2235" s="7" t="str">
        <f t="shared" si="470"/>
        <v>@MarioAvils1</v>
      </c>
      <c r="C2235" s="8" t="s">
        <v>7586</v>
      </c>
      <c r="D2235" s="9" t="s">
        <v>7591</v>
      </c>
      <c r="E2235" s="10" t="str">
        <f>HYPERLINK("https://twitter.com/MarioAvils1/status/1064845826441297920","1064845826441297920")</f>
        <v>1064845826441297920</v>
      </c>
      <c r="F2235" s="11" t="s">
        <v>7592</v>
      </c>
      <c r="G2235" s="12"/>
      <c r="H2235" s="12"/>
      <c r="I2235" s="13">
        <v>0</v>
      </c>
      <c r="J2235" s="13">
        <v>0</v>
      </c>
      <c r="K2235" s="14" t="str">
        <f t="shared" si="469"/>
        <v>Twitter for Android</v>
      </c>
      <c r="L2235" s="13">
        <v>56</v>
      </c>
      <c r="M2235" s="13">
        <v>63</v>
      </c>
      <c r="N2235" s="13">
        <v>3</v>
      </c>
      <c r="O2235" s="15"/>
      <c r="P2235" s="6">
        <v>42391.927175925928</v>
      </c>
      <c r="Q2235" s="16" t="s">
        <v>7589</v>
      </c>
      <c r="R2235" s="17" t="s">
        <v>7590</v>
      </c>
      <c r="S2235" s="12"/>
      <c r="T2235" s="12"/>
      <c r="U2235" s="10" t="str">
        <f t="shared" si="471"/>
        <v>View</v>
      </c>
    </row>
    <row r="2236" spans="1:21" ht="40.799999999999997">
      <c r="A2236" s="6">
        <v>43424.527395833335</v>
      </c>
      <c r="B2236" s="7" t="str">
        <f>HYPERLINK("https://twitter.com/VictoriaCsPla","@VictoriaCsPla")</f>
        <v>@VictoriaCsPla</v>
      </c>
      <c r="C2236" s="8" t="s">
        <v>254</v>
      </c>
      <c r="D2236" s="9" t="s">
        <v>5589</v>
      </c>
      <c r="E2236" s="10" t="str">
        <f>HYPERLINK("https://twitter.com/VictoriaCsPla/status/1064845677145063424","1064845677145063424")</f>
        <v>1064845677145063424</v>
      </c>
      <c r="F2236" s="12"/>
      <c r="G2236" s="12"/>
      <c r="H2236" s="12"/>
      <c r="I2236" s="13">
        <v>3</v>
      </c>
      <c r="J2236" s="13">
        <v>5</v>
      </c>
      <c r="K2236" s="14" t="str">
        <f>HYPERLINK("http://twitter.com/download/iphone","Twitter for iPhone")</f>
        <v>Twitter for iPhone</v>
      </c>
      <c r="L2236" s="13">
        <v>1941</v>
      </c>
      <c r="M2236" s="13">
        <v>997</v>
      </c>
      <c r="N2236" s="13">
        <v>28</v>
      </c>
      <c r="O2236" s="15"/>
      <c r="P2236" s="6">
        <v>41968.839004629626</v>
      </c>
      <c r="Q2236" s="12"/>
      <c r="R2236" s="17" t="s">
        <v>257</v>
      </c>
      <c r="S2236" s="12"/>
      <c r="T2236" s="12"/>
      <c r="U2236" s="10" t="str">
        <f>HYPERLINK("https://pbs.twimg.com/profile_images/696060478481690625/4LJfxC5t.jpg","View")</f>
        <v>View</v>
      </c>
    </row>
    <row r="2237" spans="1:21" ht="20.399999999999999">
      <c r="A2237" s="6">
        <v>43424.526898148149</v>
      </c>
      <c r="B2237" s="7" t="str">
        <f>HYPERLINK("https://twitter.com/MarioAvils1","@MarioAvils1")</f>
        <v>@MarioAvils1</v>
      </c>
      <c r="C2237" s="8" t="s">
        <v>7586</v>
      </c>
      <c r="D2237" s="9" t="s">
        <v>7593</v>
      </c>
      <c r="E2237" s="10" t="str">
        <f>HYPERLINK("https://twitter.com/MarioAvils1/status/1064845493140901888","1064845493140901888")</f>
        <v>1064845493140901888</v>
      </c>
      <c r="F2237" s="11" t="s">
        <v>7594</v>
      </c>
      <c r="G2237" s="12"/>
      <c r="H2237" s="12"/>
      <c r="I2237" s="13">
        <v>0</v>
      </c>
      <c r="J2237" s="13">
        <v>0</v>
      </c>
      <c r="K2237" s="14" t="str">
        <f>HYPERLINK("http://twitter.com/download/android","Twitter for Android")</f>
        <v>Twitter for Android</v>
      </c>
      <c r="L2237" s="13">
        <v>56</v>
      </c>
      <c r="M2237" s="13">
        <v>63</v>
      </c>
      <c r="N2237" s="13">
        <v>3</v>
      </c>
      <c r="O2237" s="15"/>
      <c r="P2237" s="6">
        <v>42391.927175925928</v>
      </c>
      <c r="Q2237" s="16" t="s">
        <v>7589</v>
      </c>
      <c r="R2237" s="17" t="s">
        <v>7590</v>
      </c>
      <c r="S2237" s="12"/>
      <c r="T2237" s="12"/>
      <c r="U2237" s="10" t="str">
        <f>HYPERLINK("https://pbs.twimg.com/profile_images/713803395056934912/Hu2PmfYy.jpg","View")</f>
        <v>View</v>
      </c>
    </row>
    <row r="2238" spans="1:21" ht="51">
      <c r="A2238" s="6">
        <v>43424.520844907413</v>
      </c>
      <c r="B2238" s="7" t="str">
        <f>HYPERLINK("https://twitter.com/AsociacionMSPE","@AsociacionMSPE")</f>
        <v>@AsociacionMSPE</v>
      </c>
      <c r="C2238" s="8" t="s">
        <v>5594</v>
      </c>
      <c r="D2238" s="9" t="s">
        <v>5595</v>
      </c>
      <c r="E2238" s="10" t="str">
        <f>HYPERLINK("https://twitter.com/AsociacionMSPE/status/1064843300983599104","1064843300983599104")</f>
        <v>1064843300983599104</v>
      </c>
      <c r="F2238" s="12"/>
      <c r="G2238" s="11" t="s">
        <v>5473</v>
      </c>
      <c r="H2238" s="12"/>
      <c r="I2238" s="13">
        <v>15</v>
      </c>
      <c r="J2238" s="13">
        <v>21</v>
      </c>
      <c r="K2238" s="14" t="str">
        <f>HYPERLINK("https://about.twitter.com/products/tweetdeck","TweetDeck")</f>
        <v>TweetDeck</v>
      </c>
      <c r="L2238" s="13">
        <v>1484</v>
      </c>
      <c r="M2238" s="13">
        <v>1843</v>
      </c>
      <c r="N2238" s="13">
        <v>32</v>
      </c>
      <c r="O2238" s="15"/>
      <c r="P2238" s="6">
        <v>41299.961643518516</v>
      </c>
      <c r="Q2238" s="16" t="s">
        <v>37</v>
      </c>
      <c r="R2238" s="17" t="s">
        <v>5597</v>
      </c>
      <c r="S2238" s="11" t="s">
        <v>5598</v>
      </c>
      <c r="T2238" s="12"/>
      <c r="U2238" s="10" t="str">
        <f>HYPERLINK("https://pbs.twimg.com/profile_images/1012233797205745664/MOjzvGZp.jpg","View")</f>
        <v>View</v>
      </c>
    </row>
    <row r="2239" spans="1:21" ht="61.2">
      <c r="A2239" s="6">
        <v>43424.519074074073</v>
      </c>
      <c r="B2239" s="7" t="str">
        <f>HYPERLINK("https://twitter.com/MartosDiego","@MartosDiego")</f>
        <v>@MartosDiego</v>
      </c>
      <c r="C2239" s="8" t="s">
        <v>7595</v>
      </c>
      <c r="D2239" s="9" t="s">
        <v>7596</v>
      </c>
      <c r="E2239" s="10" t="str">
        <f>HYPERLINK("https://twitter.com/MartosDiego/status/1064842657950826496","1064842657950826496")</f>
        <v>1064842657950826496</v>
      </c>
      <c r="F2239" s="11" t="s">
        <v>7597</v>
      </c>
      <c r="G2239" s="11" t="s">
        <v>7598</v>
      </c>
      <c r="H2239" s="12"/>
      <c r="I2239" s="13">
        <v>0</v>
      </c>
      <c r="J2239" s="13">
        <v>3</v>
      </c>
      <c r="K2239" s="14" t="str">
        <f>HYPERLINK("http://twitter.com/download/iphone","Twitter for iPhone")</f>
        <v>Twitter for iPhone</v>
      </c>
      <c r="L2239" s="13">
        <v>5375</v>
      </c>
      <c r="M2239" s="13">
        <v>737</v>
      </c>
      <c r="N2239" s="13">
        <v>13</v>
      </c>
      <c r="O2239" s="15"/>
      <c r="P2239" s="6">
        <v>40806.715729166666</v>
      </c>
      <c r="Q2239" s="16" t="s">
        <v>333</v>
      </c>
      <c r="R2239" s="17" t="s">
        <v>7599</v>
      </c>
      <c r="S2239" s="11" t="s">
        <v>7600</v>
      </c>
      <c r="T2239" s="12"/>
      <c r="U2239" s="10" t="str">
        <f>HYPERLINK("https://pbs.twimg.com/profile_images/1030499405948956674/36-ONOMV.jpg","View")</f>
        <v>View</v>
      </c>
    </row>
    <row r="2240" spans="1:21" ht="40.799999999999997">
      <c r="A2240" s="6">
        <v>43424.517245370371</v>
      </c>
      <c r="B2240" s="7" t="str">
        <f>HYPERLINK("https://twitter.com/CsLaRioja","@CsLaRioja")</f>
        <v>@CsLaRioja</v>
      </c>
      <c r="C2240" s="8" t="s">
        <v>1000</v>
      </c>
      <c r="D2240" s="9" t="s">
        <v>5599</v>
      </c>
      <c r="E2240" s="10" t="str">
        <f>HYPERLINK("https://twitter.com/CsLaRioja/status/1064841997813510144","1064841997813510144")</f>
        <v>1064841997813510144</v>
      </c>
      <c r="F2240" s="12"/>
      <c r="G2240" s="11" t="s">
        <v>5600</v>
      </c>
      <c r="H2240" s="12"/>
      <c r="I2240" s="13">
        <v>5</v>
      </c>
      <c r="J2240" s="13">
        <v>8</v>
      </c>
      <c r="K2240" s="14" t="str">
        <f>HYPERLINK("https://about.twitter.com/products/tweetdeck","TweetDeck")</f>
        <v>TweetDeck</v>
      </c>
      <c r="L2240" s="13">
        <v>4219</v>
      </c>
      <c r="M2240" s="13">
        <v>1618</v>
      </c>
      <c r="N2240" s="13">
        <v>83</v>
      </c>
      <c r="O2240" s="18" t="s">
        <v>36</v>
      </c>
      <c r="P2240" s="6">
        <v>41950.884421296294</v>
      </c>
      <c r="Q2240" s="16" t="s">
        <v>1007</v>
      </c>
      <c r="R2240" s="17" t="s">
        <v>1008</v>
      </c>
      <c r="S2240" s="11" t="s">
        <v>1009</v>
      </c>
      <c r="T2240" s="12"/>
      <c r="U2240" s="10" t="str">
        <f>HYPERLINK("https://pbs.twimg.com/profile_images/1053530865739988993/qxMztW6q.jpg","View")</f>
        <v>View</v>
      </c>
    </row>
    <row r="2241" spans="1:21" ht="30.6">
      <c r="A2241" s="6">
        <v>43424.517094907409</v>
      </c>
      <c r="B2241" s="7" t="str">
        <f>HYPERLINK("https://twitter.com/ontibe","@ontibe")</f>
        <v>@ontibe</v>
      </c>
      <c r="C2241" s="8" t="s">
        <v>3356</v>
      </c>
      <c r="D2241" s="9" t="s">
        <v>7057</v>
      </c>
      <c r="E2241" s="10" t="str">
        <f>HYPERLINK("https://twitter.com/ontibe/status/1064841944331882496","1064841944331882496")</f>
        <v>1064841944331882496</v>
      </c>
      <c r="F2241" s="11" t="s">
        <v>7058</v>
      </c>
      <c r="G2241" s="12"/>
      <c r="H2241" s="12"/>
      <c r="I2241" s="13">
        <v>0</v>
      </c>
      <c r="J2241" s="13">
        <v>0</v>
      </c>
      <c r="K2241" s="14" t="str">
        <f t="shared" ref="K2241:K2242" si="472">HYPERLINK("http://twitter.com","Twitter Web Client")</f>
        <v>Twitter Web Client</v>
      </c>
      <c r="L2241" s="13">
        <v>432</v>
      </c>
      <c r="M2241" s="13">
        <v>1265</v>
      </c>
      <c r="N2241" s="13">
        <v>1</v>
      </c>
      <c r="O2241" s="15"/>
      <c r="P2241" s="6">
        <v>40673.627766203703</v>
      </c>
      <c r="Q2241" s="16" t="s">
        <v>3357</v>
      </c>
      <c r="R2241" s="17" t="s">
        <v>3358</v>
      </c>
      <c r="S2241" s="12"/>
      <c r="T2241" s="12"/>
      <c r="U2241" s="10" t="str">
        <f>HYPERLINK("https://pbs.twimg.com/profile_images/867069058037972993/9c2-Wrp7.jpg","View")</f>
        <v>View</v>
      </c>
    </row>
    <row r="2242" spans="1:21" ht="91.8">
      <c r="A2242" s="6">
        <v>43424.5159375</v>
      </c>
      <c r="B2242" s="7" t="str">
        <f>HYPERLINK("https://twitter.com/Lluis_Ducet","@Lluis_Ducet")</f>
        <v>@Lluis_Ducet</v>
      </c>
      <c r="C2242" s="8" t="s">
        <v>1128</v>
      </c>
      <c r="D2242" s="9" t="s">
        <v>5603</v>
      </c>
      <c r="E2242" s="10" t="str">
        <f>HYPERLINK("https://twitter.com/Lluis_Ducet/status/1064841520879149056","1064841520879149056")</f>
        <v>1064841520879149056</v>
      </c>
      <c r="F2242" s="11" t="s">
        <v>5604</v>
      </c>
      <c r="G2242" s="11" t="s">
        <v>5607</v>
      </c>
      <c r="H2242" s="12"/>
      <c r="I2242" s="13">
        <v>1</v>
      </c>
      <c r="J2242" s="13">
        <v>1</v>
      </c>
      <c r="K2242" s="14" t="str">
        <f t="shared" si="472"/>
        <v>Twitter Web Client</v>
      </c>
      <c r="L2242" s="13">
        <v>1107</v>
      </c>
      <c r="M2242" s="13">
        <v>1239</v>
      </c>
      <c r="N2242" s="13">
        <v>34</v>
      </c>
      <c r="O2242" s="15"/>
      <c r="P2242" s="6">
        <v>41247.701643518521</v>
      </c>
      <c r="Q2242" s="16" t="s">
        <v>1131</v>
      </c>
      <c r="R2242" s="17" t="s">
        <v>1132</v>
      </c>
      <c r="S2242" s="12"/>
      <c r="T2242" s="12"/>
      <c r="U2242" s="10" t="str">
        <f>HYPERLINK("https://pbs.twimg.com/profile_images/927277121562599424/Va2dSxQw.jpg","View")</f>
        <v>View</v>
      </c>
    </row>
    <row r="2243" spans="1:21" ht="40.799999999999997">
      <c r="A2243" s="6">
        <v>43424.513923611114</v>
      </c>
      <c r="B2243" s="7" t="str">
        <f>HYPERLINK("https://twitter.com/La_Cerca","@La_Cerca")</f>
        <v>@La_Cerca</v>
      </c>
      <c r="C2243" s="8" t="s">
        <v>167</v>
      </c>
      <c r="D2243" s="9" t="s">
        <v>5611</v>
      </c>
      <c r="E2243" s="10" t="str">
        <f>HYPERLINK("https://twitter.com/La_Cerca/status/1064840791212867584","1064840791212867584")</f>
        <v>1064840791212867584</v>
      </c>
      <c r="F2243" s="11" t="s">
        <v>5613</v>
      </c>
      <c r="G2243" s="12"/>
      <c r="H2243" s="12"/>
      <c r="I2243" s="13">
        <v>0</v>
      </c>
      <c r="J2243" s="13">
        <v>1</v>
      </c>
      <c r="K2243" s="14" t="str">
        <f>HYPERLINK("http://www.lacerca.com","La Cerca")</f>
        <v>La Cerca</v>
      </c>
      <c r="L2243" s="13">
        <v>18963</v>
      </c>
      <c r="M2243" s="13">
        <v>4967</v>
      </c>
      <c r="N2243" s="13">
        <v>336</v>
      </c>
      <c r="O2243" s="18" t="s">
        <v>36</v>
      </c>
      <c r="P2243" s="6">
        <v>40007.429652777777</v>
      </c>
      <c r="Q2243" s="16" t="s">
        <v>171</v>
      </c>
      <c r="R2243" s="17" t="s">
        <v>172</v>
      </c>
      <c r="S2243" s="11" t="s">
        <v>173</v>
      </c>
      <c r="T2243" s="12"/>
      <c r="U2243" s="10" t="str">
        <f>HYPERLINK("https://pbs.twimg.com/profile_images/1046758213843111937/MFsiNfy0.jpg","View")</f>
        <v>View</v>
      </c>
    </row>
    <row r="2244" spans="1:21" ht="40.799999999999997">
      <c r="A2244" s="6">
        <v>43424.507789351846</v>
      </c>
      <c r="B2244" s="7" t="str">
        <f>HYPERLINK("https://twitter.com/javierh","@javierh")</f>
        <v>@javierh</v>
      </c>
      <c r="C2244" s="8" t="s">
        <v>5616</v>
      </c>
      <c r="D2244" s="9" t="s">
        <v>5617</v>
      </c>
      <c r="E2244" s="10" t="str">
        <f>HYPERLINK("https://twitter.com/javierh/status/1064838567975890949","1064838567975890949")</f>
        <v>1064838567975890949</v>
      </c>
      <c r="F2244" s="12"/>
      <c r="G2244" s="12"/>
      <c r="H2244" s="12"/>
      <c r="I2244" s="13">
        <v>1</v>
      </c>
      <c r="J2244" s="13">
        <v>0</v>
      </c>
      <c r="K2244" s="14" t="str">
        <f t="shared" ref="K2244:K2245" si="473">HYPERLINK("http://twitter.com","Twitter Web Client")</f>
        <v>Twitter Web Client</v>
      </c>
      <c r="L2244" s="13">
        <v>599</v>
      </c>
      <c r="M2244" s="13">
        <v>354</v>
      </c>
      <c r="N2244" s="13">
        <v>54</v>
      </c>
      <c r="O2244" s="15"/>
      <c r="P2244" s="6">
        <v>39403.023877314816</v>
      </c>
      <c r="Q2244" s="16" t="s">
        <v>2163</v>
      </c>
      <c r="R2244" s="17" t="s">
        <v>5622</v>
      </c>
      <c r="S2244" s="11" t="s">
        <v>5623</v>
      </c>
      <c r="T2244" s="12"/>
      <c r="U2244" s="10" t="str">
        <f>HYPERLINK("https://pbs.twimg.com/profile_images/1036244889841926145/Q7dDbWWb.jpg","View")</f>
        <v>View</v>
      </c>
    </row>
    <row r="2245" spans="1:21" ht="81.599999999999994">
      <c r="A2245" s="6">
        <v>43424.503981481481</v>
      </c>
      <c r="B2245" s="7" t="str">
        <f>HYPERLINK("https://twitter.com/JMAlbi","@JMAlbi")</f>
        <v>@JMAlbi</v>
      </c>
      <c r="C2245" s="8" t="s">
        <v>5627</v>
      </c>
      <c r="D2245" s="9" t="s">
        <v>5628</v>
      </c>
      <c r="E2245" s="10" t="str">
        <f>HYPERLINK("https://twitter.com/JMAlbi/status/1064837191447310338","1064837191447310338")</f>
        <v>1064837191447310338</v>
      </c>
      <c r="F2245" s="16" t="s">
        <v>5629</v>
      </c>
      <c r="G2245" s="12"/>
      <c r="H2245" s="12"/>
      <c r="I2245" s="13">
        <v>0</v>
      </c>
      <c r="J2245" s="13">
        <v>0</v>
      </c>
      <c r="K2245" s="14" t="str">
        <f t="shared" si="473"/>
        <v>Twitter Web Client</v>
      </c>
      <c r="L2245" s="13">
        <v>90</v>
      </c>
      <c r="M2245" s="13">
        <v>208</v>
      </c>
      <c r="N2245" s="13">
        <v>1</v>
      </c>
      <c r="O2245" s="15"/>
      <c r="P2245" s="6">
        <v>40670.449861111112</v>
      </c>
      <c r="Q2245" s="12"/>
      <c r="R2245" s="17" t="s">
        <v>5630</v>
      </c>
      <c r="S2245" s="12"/>
      <c r="T2245" s="12"/>
      <c r="U2245" s="10" t="str">
        <f>HYPERLINK("https://pbs.twimg.com/profile_images/2881406948/fa8b1ce378cc88d939d0b738c0b163a5.jpeg","View")</f>
        <v>View</v>
      </c>
    </row>
    <row r="2246" spans="1:21" ht="40.799999999999997">
      <c r="A2246" s="6">
        <v>43424.501747685186</v>
      </c>
      <c r="B2246" s="7" t="str">
        <f>HYPERLINK("https://twitter.com/Echelon_43","@Echelon_43")</f>
        <v>@Echelon_43</v>
      </c>
      <c r="C2246" s="8" t="s">
        <v>4978</v>
      </c>
      <c r="D2246" s="9" t="s">
        <v>7057</v>
      </c>
      <c r="E2246" s="10" t="str">
        <f>HYPERLINK("https://twitter.com/Echelon_43/status/1064836380034048001","1064836380034048001")</f>
        <v>1064836380034048001</v>
      </c>
      <c r="F2246" s="11" t="s">
        <v>7058</v>
      </c>
      <c r="G2246" s="12"/>
      <c r="H2246" s="12"/>
      <c r="I2246" s="13">
        <v>0</v>
      </c>
      <c r="J2246" s="13">
        <v>0</v>
      </c>
      <c r="K2246" s="14" t="str">
        <f>HYPERLINK("http://twitter.com/download/android","Twitter for Android")</f>
        <v>Twitter for Android</v>
      </c>
      <c r="L2246" s="13">
        <v>896</v>
      </c>
      <c r="M2246" s="13">
        <v>193</v>
      </c>
      <c r="N2246" s="13">
        <v>65</v>
      </c>
      <c r="O2246" s="15"/>
      <c r="P2246" s="6">
        <v>40751.55537037037</v>
      </c>
      <c r="Q2246" s="16" t="s">
        <v>118</v>
      </c>
      <c r="R2246" s="17" t="s">
        <v>4983</v>
      </c>
      <c r="S2246" s="12"/>
      <c r="T2246" s="12"/>
      <c r="U2246" s="10" t="str">
        <f>HYPERLINK("https://pbs.twimg.com/profile_images/921723596594143233/wkqlrmwK.jpg","View")</f>
        <v>View</v>
      </c>
    </row>
    <row r="2247" spans="1:21" ht="51">
      <c r="A2247" s="6">
        <v>43424.501388888893</v>
      </c>
      <c r="B2247" s="7" t="str">
        <f t="shared" ref="B2247:B2248" si="474">HYPERLINK("https://twitter.com/bitMomentum","@bitMomentum")</f>
        <v>@bitMomentum</v>
      </c>
      <c r="C2247" s="8" t="s">
        <v>706</v>
      </c>
      <c r="D2247" s="9" t="s">
        <v>5631</v>
      </c>
      <c r="E2247" s="10" t="str">
        <f>HYPERLINK("https://twitter.com/bitMomentum/status/1064836249377218562","1064836249377218562")</f>
        <v>1064836249377218562</v>
      </c>
      <c r="F2247" s="12"/>
      <c r="G2247" s="12"/>
      <c r="H2247" s="12"/>
      <c r="I2247" s="13">
        <v>0</v>
      </c>
      <c r="J2247" s="13">
        <v>0</v>
      </c>
      <c r="K2247" s="14" t="str">
        <f t="shared" ref="K2247:K2248" si="475">HYPERLINK("http://www.bitmomentum.com","bitMomentum Bot")</f>
        <v>bitMomentum Bot</v>
      </c>
      <c r="L2247" s="13">
        <v>10132</v>
      </c>
      <c r="M2247" s="13">
        <v>1060</v>
      </c>
      <c r="N2247" s="13">
        <v>262</v>
      </c>
      <c r="O2247" s="15"/>
      <c r="P2247" s="6">
        <v>41608.667511574073</v>
      </c>
      <c r="Q2247" s="12"/>
      <c r="R2247" s="17" t="s">
        <v>708</v>
      </c>
      <c r="S2247" s="11" t="s">
        <v>709</v>
      </c>
      <c r="T2247" s="12"/>
      <c r="U2247" s="10" t="str">
        <f t="shared" ref="U2247:U2248" si="476">HYPERLINK("https://pbs.twimg.com/profile_images/378800000862185241/20ij2H3u.png","View")</f>
        <v>View</v>
      </c>
    </row>
    <row r="2248" spans="1:21" ht="51">
      <c r="A2248" s="6">
        <v>43424.500694444447</v>
      </c>
      <c r="B2248" s="7" t="str">
        <f t="shared" si="474"/>
        <v>@bitMomentum</v>
      </c>
      <c r="C2248" s="8" t="s">
        <v>706</v>
      </c>
      <c r="D2248" s="9" t="s">
        <v>5637</v>
      </c>
      <c r="E2248" s="10" t="str">
        <f>HYPERLINK("https://twitter.com/bitMomentum/status/1064835997437956096","1064835997437956096")</f>
        <v>1064835997437956096</v>
      </c>
      <c r="F2248" s="12"/>
      <c r="G2248" s="12"/>
      <c r="H2248" s="12"/>
      <c r="I2248" s="13">
        <v>0</v>
      </c>
      <c r="J2248" s="13">
        <v>0</v>
      </c>
      <c r="K2248" s="14" t="str">
        <f t="shared" si="475"/>
        <v>bitMomentum Bot</v>
      </c>
      <c r="L2248" s="13">
        <v>10132</v>
      </c>
      <c r="M2248" s="13">
        <v>1060</v>
      </c>
      <c r="N2248" s="13">
        <v>262</v>
      </c>
      <c r="O2248" s="15"/>
      <c r="P2248" s="6">
        <v>41608.667511574073</v>
      </c>
      <c r="Q2248" s="12"/>
      <c r="R2248" s="17" t="s">
        <v>708</v>
      </c>
      <c r="S2248" s="11" t="s">
        <v>709</v>
      </c>
      <c r="T2248" s="12"/>
      <c r="U2248" s="10" t="str">
        <f t="shared" si="476"/>
        <v>View</v>
      </c>
    </row>
    <row r="2249" spans="1:21" ht="51">
      <c r="A2249" s="6">
        <v>43424.494803240741</v>
      </c>
      <c r="B2249" s="7" t="str">
        <f>HYPERLINK("https://twitter.com/Albert_Rivera","@Albert_Rivera")</f>
        <v>@Albert_Rivera</v>
      </c>
      <c r="C2249" s="8" t="s">
        <v>389</v>
      </c>
      <c r="D2249" s="9" t="s">
        <v>7601</v>
      </c>
      <c r="E2249" s="10" t="str">
        <f>HYPERLINK("https://twitter.com/Albert_Rivera/status/1064833864089174018","1064833864089174018")</f>
        <v>1064833864089174018</v>
      </c>
      <c r="F2249" s="12"/>
      <c r="G2249" s="11" t="s">
        <v>4538</v>
      </c>
      <c r="H2249" s="12"/>
      <c r="I2249" s="13">
        <v>655</v>
      </c>
      <c r="J2249" s="13">
        <v>1214</v>
      </c>
      <c r="K2249" s="14" t="str">
        <f>HYPERLINK("http://twitter.com/download/iphone","Twitter for iPhone")</f>
        <v>Twitter for iPhone</v>
      </c>
      <c r="L2249" s="13">
        <v>1071530</v>
      </c>
      <c r="M2249" s="13">
        <v>2545</v>
      </c>
      <c r="N2249" s="13">
        <v>5104</v>
      </c>
      <c r="O2249" s="18" t="s">
        <v>36</v>
      </c>
      <c r="P2249" s="6">
        <v>40205.748171296298</v>
      </c>
      <c r="Q2249" s="16" t="s">
        <v>37</v>
      </c>
      <c r="R2249" s="17" t="s">
        <v>393</v>
      </c>
      <c r="S2249" s="11" t="s">
        <v>394</v>
      </c>
      <c r="T2249" s="12"/>
      <c r="U2249" s="10" t="str">
        <f>HYPERLINK("https://pbs.twimg.com/profile_images/1030708936779988993/RncDM4EZ.jpg","View")</f>
        <v>View</v>
      </c>
    </row>
    <row r="2250" spans="1:21" ht="40.799999999999997">
      <c r="A2250" s="6">
        <v>43424.493888888886</v>
      </c>
      <c r="B2250" s="7" t="str">
        <f>HYPERLINK("https://twitter.com/etrigar","@etrigar")</f>
        <v>@etrigar</v>
      </c>
      <c r="C2250" s="8" t="s">
        <v>5642</v>
      </c>
      <c r="D2250" s="9" t="s">
        <v>5643</v>
      </c>
      <c r="E2250" s="10" t="str">
        <f>HYPERLINK("https://twitter.com/etrigar/status/1064833534353911808","1064833534353911808")</f>
        <v>1064833534353911808</v>
      </c>
      <c r="F2250" s="11" t="s">
        <v>5646</v>
      </c>
      <c r="G2250" s="12"/>
      <c r="H2250" s="12"/>
      <c r="I2250" s="13">
        <v>0</v>
      </c>
      <c r="J2250" s="13">
        <v>1</v>
      </c>
      <c r="K2250" s="14" t="str">
        <f>HYPERLINK("http://twitter.com/download/android","Twitter for Android")</f>
        <v>Twitter for Android</v>
      </c>
      <c r="L2250" s="13">
        <v>485</v>
      </c>
      <c r="M2250" s="13">
        <v>676</v>
      </c>
      <c r="N2250" s="13">
        <v>28</v>
      </c>
      <c r="O2250" s="15"/>
      <c r="P2250" s="6">
        <v>41106.399930555555</v>
      </c>
      <c r="Q2250" s="16" t="s">
        <v>496</v>
      </c>
      <c r="R2250" s="17" t="s">
        <v>5647</v>
      </c>
      <c r="S2250" s="12"/>
      <c r="T2250" s="12"/>
      <c r="U2250" s="10" t="str">
        <f>HYPERLINK("https://pbs.twimg.com/profile_images/633040619984711680/aB-aD_Ku.jpg","View")</f>
        <v>View</v>
      </c>
    </row>
    <row r="2251" spans="1:21" ht="20.399999999999999">
      <c r="A2251" s="6">
        <v>43424.49287037037</v>
      </c>
      <c r="B2251" s="7" t="str">
        <f>HYPERLINK("https://twitter.com/Belda1954","@Belda1954")</f>
        <v>@Belda1954</v>
      </c>
      <c r="C2251" s="8" t="s">
        <v>7602</v>
      </c>
      <c r="D2251" s="9" t="s">
        <v>7603</v>
      </c>
      <c r="E2251" s="10" t="str">
        <f>HYPERLINK("https://twitter.com/Belda1954/status/1064833163212529669","1064833163212529669")</f>
        <v>1064833163212529669</v>
      </c>
      <c r="F2251" s="11" t="s">
        <v>7511</v>
      </c>
      <c r="G2251" s="12"/>
      <c r="H2251" s="12"/>
      <c r="I2251" s="13">
        <v>0</v>
      </c>
      <c r="J2251" s="13">
        <v>0</v>
      </c>
      <c r="K2251" s="14" t="str">
        <f>HYPERLINK("http://twitter.com","Twitter Web Client")</f>
        <v>Twitter Web Client</v>
      </c>
      <c r="L2251" s="13">
        <v>333</v>
      </c>
      <c r="M2251" s="13">
        <v>1031</v>
      </c>
      <c r="N2251" s="13">
        <v>7</v>
      </c>
      <c r="O2251" s="15"/>
      <c r="P2251" s="6">
        <v>40445.780740740738</v>
      </c>
      <c r="Q2251" s="16" t="s">
        <v>37</v>
      </c>
      <c r="R2251" s="17" t="s">
        <v>7604</v>
      </c>
      <c r="S2251" s="12"/>
      <c r="T2251" s="12"/>
      <c r="U2251" s="10" t="str">
        <f>HYPERLINK("https://pbs.twimg.com/profile_images/760042410126737408/0vT_CbAN.jpg","View")</f>
        <v>View</v>
      </c>
    </row>
    <row r="2252" spans="1:21" ht="51">
      <c r="A2252" s="6">
        <v>43424.492013888885</v>
      </c>
      <c r="B2252" s="7" t="str">
        <f>HYPERLINK("https://twitter.com/Luis51073799","@Luis51073799")</f>
        <v>@Luis51073799</v>
      </c>
      <c r="C2252" s="8" t="s">
        <v>5649</v>
      </c>
      <c r="D2252" s="9" t="s">
        <v>5650</v>
      </c>
      <c r="E2252" s="10" t="str">
        <f>HYPERLINK("https://twitter.com/Luis51073799/status/1064832855208067072","1064832855208067072")</f>
        <v>1064832855208067072</v>
      </c>
      <c r="F2252" s="16" t="s">
        <v>5651</v>
      </c>
      <c r="G2252" s="11" t="s">
        <v>5652</v>
      </c>
      <c r="H2252" s="12"/>
      <c r="I2252" s="13">
        <v>0</v>
      </c>
      <c r="J2252" s="13">
        <v>0</v>
      </c>
      <c r="K2252" s="14" t="str">
        <f>HYPERLINK("http://twitter.com/download/iphone","Twitter for iPhone")</f>
        <v>Twitter for iPhone</v>
      </c>
      <c r="L2252" s="13">
        <v>73</v>
      </c>
      <c r="M2252" s="13">
        <v>600</v>
      </c>
      <c r="N2252" s="13">
        <v>0</v>
      </c>
      <c r="O2252" s="15"/>
      <c r="P2252" s="6">
        <v>42287.144143518519</v>
      </c>
      <c r="Q2252" s="12"/>
      <c r="R2252" s="17" t="s">
        <v>5653</v>
      </c>
      <c r="S2252" s="12"/>
      <c r="T2252" s="12"/>
      <c r="U2252" s="10" t="str">
        <f>HYPERLINK("https://pbs.twimg.com/profile_images/1055657316559872000/CcDamLLw.jpg","View")</f>
        <v>View</v>
      </c>
    </row>
    <row r="2253" spans="1:21" ht="20.399999999999999">
      <c r="A2253" s="6">
        <v>43424.491087962961</v>
      </c>
      <c r="B2253" s="7" t="str">
        <f>HYPERLINK("https://twitter.com/titulares24hora","@titulares24hora")</f>
        <v>@titulares24hora</v>
      </c>
      <c r="C2253" s="8" t="s">
        <v>3413</v>
      </c>
      <c r="D2253" s="9" t="s">
        <v>5033</v>
      </c>
      <c r="E2253" s="10" t="str">
        <f>HYPERLINK("https://twitter.com/titulares24hora/status/1064832515771428864","1064832515771428864")</f>
        <v>1064832515771428864</v>
      </c>
      <c r="F2253" s="12"/>
      <c r="G2253" s="12"/>
      <c r="H2253" s="12"/>
      <c r="I2253" s="13">
        <v>0</v>
      </c>
      <c r="J2253" s="13">
        <v>2</v>
      </c>
      <c r="K2253" s="14" t="str">
        <f>HYPERLINK("https://ifttt.com","IFTTT")</f>
        <v>IFTTT</v>
      </c>
      <c r="L2253" s="13">
        <v>394</v>
      </c>
      <c r="M2253" s="13">
        <v>1463</v>
      </c>
      <c r="N2253" s="13">
        <v>2</v>
      </c>
      <c r="O2253" s="15"/>
      <c r="P2253" s="6">
        <v>42508.446805555555</v>
      </c>
      <c r="Q2253" s="12"/>
      <c r="R2253" s="17" t="s">
        <v>3417</v>
      </c>
      <c r="S2253" s="12"/>
      <c r="T2253" s="12"/>
      <c r="U2253" s="10" t="str">
        <f>HYPERLINK("https://pbs.twimg.com/profile_images/732855169034166272/A8O2LY2J.jpg","View")</f>
        <v>View</v>
      </c>
    </row>
    <row r="2254" spans="1:21" ht="30.6">
      <c r="A2254" s="6">
        <v>43424.488842592589</v>
      </c>
      <c r="B2254" s="7" t="str">
        <f>HYPERLINK("https://twitter.com/AguasNeutrales","@AguasNeutrales")</f>
        <v>@AguasNeutrales</v>
      </c>
      <c r="C2254" s="8" t="s">
        <v>7605</v>
      </c>
      <c r="D2254" s="9" t="s">
        <v>7606</v>
      </c>
      <c r="E2254" s="10" t="str">
        <f>HYPERLINK("https://twitter.com/AguasNeutrales/status/1064831702265196544","1064831702265196544")</f>
        <v>1064831702265196544</v>
      </c>
      <c r="F2254" s="11" t="s">
        <v>7607</v>
      </c>
      <c r="G2254" s="11" t="s">
        <v>7608</v>
      </c>
      <c r="H2254" s="12"/>
      <c r="I2254" s="13">
        <v>0</v>
      </c>
      <c r="J2254" s="13">
        <v>0</v>
      </c>
      <c r="K2254" s="14" t="str">
        <f>HYPERLINK("http://twitter.com","Twitter Web Client")</f>
        <v>Twitter Web Client</v>
      </c>
      <c r="L2254" s="13">
        <v>841</v>
      </c>
      <c r="M2254" s="13">
        <v>2081</v>
      </c>
      <c r="N2254" s="13">
        <v>5</v>
      </c>
      <c r="O2254" s="15"/>
      <c r="P2254" s="6">
        <v>41802.302615740744</v>
      </c>
      <c r="Q2254" s="12"/>
      <c r="R2254" s="17" t="s">
        <v>7609</v>
      </c>
      <c r="S2254" s="12"/>
      <c r="T2254" s="12"/>
      <c r="U2254" s="10" t="str">
        <f>HYPERLINK("https://pbs.twimg.com/profile_images/1008462024282689536/Q3Z1dTgf.jpg","View")</f>
        <v>View</v>
      </c>
    </row>
    <row r="2255" spans="1:21" ht="30.6">
      <c r="A2255" s="6">
        <v>43424.48883101852</v>
      </c>
      <c r="B2255" s="7" t="str">
        <f>HYPERLINK("https://twitter.com/ElJaviParla","@ElJaviParla")</f>
        <v>@ElJaviParla</v>
      </c>
      <c r="C2255" s="8" t="s">
        <v>738</v>
      </c>
      <c r="D2255" s="9" t="s">
        <v>7610</v>
      </c>
      <c r="E2255" s="10" t="str">
        <f>HYPERLINK("https://twitter.com/ElJaviParla/status/1064831699673067520","1064831699673067520")</f>
        <v>1064831699673067520</v>
      </c>
      <c r="F2255" s="12"/>
      <c r="G2255" s="11" t="s">
        <v>7611</v>
      </c>
      <c r="H2255" s="12"/>
      <c r="I2255" s="13">
        <v>2</v>
      </c>
      <c r="J2255" s="13">
        <v>4</v>
      </c>
      <c r="K2255" s="14" t="str">
        <f t="shared" ref="K2255:K2256" si="477">HYPERLINK("http://twitter.com/download/android","Twitter for Android")</f>
        <v>Twitter for Android</v>
      </c>
      <c r="L2255" s="13">
        <v>1928</v>
      </c>
      <c r="M2255" s="13">
        <v>335</v>
      </c>
      <c r="N2255" s="13">
        <v>15</v>
      </c>
      <c r="O2255" s="15"/>
      <c r="P2255" s="6">
        <v>41028.748553240745</v>
      </c>
      <c r="Q2255" s="16" t="s">
        <v>7612</v>
      </c>
      <c r="R2255" s="17" t="s">
        <v>7613</v>
      </c>
      <c r="S2255" s="12"/>
      <c r="T2255" s="12"/>
      <c r="U2255" s="10" t="str">
        <f>HYPERLINK("https://pbs.twimg.com/profile_images/930032000454586368/GaPpPXft.jpg","View")</f>
        <v>View</v>
      </c>
    </row>
    <row r="2256" spans="1:21" ht="61.2">
      <c r="A2256" s="6">
        <v>43424.487870370373</v>
      </c>
      <c r="B2256" s="7" t="str">
        <f>HYPERLINK("https://twitter.com/MSPE_Aragon","@MSPE_Aragon")</f>
        <v>@MSPE_Aragon</v>
      </c>
      <c r="C2256" s="8" t="s">
        <v>5656</v>
      </c>
      <c r="D2256" s="9" t="s">
        <v>5657</v>
      </c>
      <c r="E2256" s="10" t="str">
        <f>HYPERLINK("https://twitter.com/MSPE_Aragon/status/1064831350497320960","1064831350497320960")</f>
        <v>1064831350497320960</v>
      </c>
      <c r="F2256" s="12"/>
      <c r="G2256" s="12"/>
      <c r="H2256" s="12"/>
      <c r="I2256" s="13">
        <v>3</v>
      </c>
      <c r="J2256" s="13">
        <v>5</v>
      </c>
      <c r="K2256" s="14" t="str">
        <f t="shared" si="477"/>
        <v>Twitter for Android</v>
      </c>
      <c r="L2256" s="13">
        <v>160</v>
      </c>
      <c r="M2256" s="13">
        <v>476</v>
      </c>
      <c r="N2256" s="13">
        <v>2</v>
      </c>
      <c r="O2256" s="15"/>
      <c r="P2256" s="6">
        <v>43283.522418981476</v>
      </c>
      <c r="Q2256" s="16" t="s">
        <v>2692</v>
      </c>
      <c r="R2256" s="17" t="s">
        <v>5659</v>
      </c>
      <c r="S2256" s="11" t="s">
        <v>5660</v>
      </c>
      <c r="T2256" s="12"/>
      <c r="U2256" s="10" t="str">
        <f>HYPERLINK("https://pbs.twimg.com/profile_images/1025099697583779840/KITT5MFk.jpg","View")</f>
        <v>View</v>
      </c>
    </row>
    <row r="2257" spans="1:21" ht="20.399999999999999">
      <c r="A2257" s="6">
        <v>43424.487789351857</v>
      </c>
      <c r="B2257" s="7" t="str">
        <f>HYPERLINK("https://twitter.com/adelacafe93","@adelacafe93")</f>
        <v>@adelacafe93</v>
      </c>
      <c r="C2257" s="8" t="s">
        <v>3418</v>
      </c>
      <c r="D2257" s="9" t="s">
        <v>5033</v>
      </c>
      <c r="E2257" s="10" t="str">
        <f>HYPERLINK("https://twitter.com/adelacafe93/status/1064831322332557312","1064831322332557312")</f>
        <v>1064831322332557312</v>
      </c>
      <c r="F2257" s="11" t="s">
        <v>7614</v>
      </c>
      <c r="G2257" s="12"/>
      <c r="H2257" s="12"/>
      <c r="I2257" s="13">
        <v>0</v>
      </c>
      <c r="J2257" s="13">
        <v>0</v>
      </c>
      <c r="K2257" s="14" t="str">
        <f>HYPERLINK("https://ifttt.com","IFTTT")</f>
        <v>IFTTT</v>
      </c>
      <c r="L2257" s="13">
        <v>18</v>
      </c>
      <c r="M2257" s="13">
        <v>47</v>
      </c>
      <c r="N2257" s="13">
        <v>0</v>
      </c>
      <c r="O2257" s="15"/>
      <c r="P2257" s="6">
        <v>42761.615034722221</v>
      </c>
      <c r="Q2257" s="16" t="s">
        <v>2572</v>
      </c>
      <c r="R2257" s="17" t="s">
        <v>3422</v>
      </c>
      <c r="S2257" s="12"/>
      <c r="T2257" s="12"/>
      <c r="U2257" s="10" t="str">
        <f>HYPERLINK("https://pbs.twimg.com/profile_images/824614694078013444/fkDV_Y0Z.jpg","View")</f>
        <v>View</v>
      </c>
    </row>
    <row r="2258" spans="1:21" ht="30.6">
      <c r="A2258" s="6">
        <v>43424.487141203703</v>
      </c>
      <c r="B2258" s="7" t="str">
        <f>HYPERLINK("https://twitter.com/melapelan13","@melapelan13")</f>
        <v>@melapelan13</v>
      </c>
      <c r="C2258" s="8" t="s">
        <v>7615</v>
      </c>
      <c r="D2258" s="9" t="s">
        <v>7616</v>
      </c>
      <c r="E2258" s="10" t="str">
        <f>HYPERLINK("https://twitter.com/melapelan13/status/1064831086386192384","1064831086386192384")</f>
        <v>1064831086386192384</v>
      </c>
      <c r="F2258" s="11" t="s">
        <v>7511</v>
      </c>
      <c r="G2258" s="12"/>
      <c r="H2258" s="12"/>
      <c r="I2258" s="13">
        <v>0</v>
      </c>
      <c r="J2258" s="13">
        <v>0</v>
      </c>
      <c r="K2258" s="14" t="str">
        <f t="shared" ref="K2258:K2260" si="478">HYPERLINK("http://twitter.com","Twitter Web Client")</f>
        <v>Twitter Web Client</v>
      </c>
      <c r="L2258" s="13">
        <v>3</v>
      </c>
      <c r="M2258" s="13">
        <v>0</v>
      </c>
      <c r="N2258" s="13">
        <v>0</v>
      </c>
      <c r="O2258" s="15"/>
      <c r="P2258" s="6">
        <v>42734.527291666665</v>
      </c>
      <c r="Q2258" s="16" t="s">
        <v>2198</v>
      </c>
      <c r="R2258" s="19"/>
      <c r="S2258" s="12"/>
      <c r="T2258" s="12"/>
      <c r="U2258" s="18" t="s">
        <v>559</v>
      </c>
    </row>
    <row r="2259" spans="1:21" ht="40.799999999999997">
      <c r="A2259" s="6">
        <v>43424.486446759256</v>
      </c>
      <c r="B2259" s="7" t="str">
        <f>HYPERLINK("https://twitter.com/ElMundoEspana","@ElMundoEspana")</f>
        <v>@ElMundoEspana</v>
      </c>
      <c r="C2259" s="8" t="s">
        <v>3445</v>
      </c>
      <c r="D2259" s="9" t="s">
        <v>5033</v>
      </c>
      <c r="E2259" s="10" t="str">
        <f>HYPERLINK("https://twitter.com/ElMundoEspana/status/1064830836325916672","1064830836325916672")</f>
        <v>1064830836325916672</v>
      </c>
      <c r="F2259" s="11" t="s">
        <v>5034</v>
      </c>
      <c r="G2259" s="12"/>
      <c r="H2259" s="12"/>
      <c r="I2259" s="13">
        <v>1</v>
      </c>
      <c r="J2259" s="13">
        <v>2</v>
      </c>
      <c r="K2259" s="14" t="str">
        <f t="shared" si="478"/>
        <v>Twitter Web Client</v>
      </c>
      <c r="L2259" s="13">
        <v>17966</v>
      </c>
      <c r="M2259" s="13">
        <v>654</v>
      </c>
      <c r="N2259" s="13">
        <v>352</v>
      </c>
      <c r="O2259" s="18" t="s">
        <v>36</v>
      </c>
      <c r="P2259" s="6">
        <v>42089.415439814809</v>
      </c>
      <c r="Q2259" s="12"/>
      <c r="R2259" s="17" t="s">
        <v>3447</v>
      </c>
      <c r="S2259" s="11" t="s">
        <v>3448</v>
      </c>
      <c r="T2259" s="12"/>
      <c r="U2259" s="10" t="str">
        <f>HYPERLINK("https://pbs.twimg.com/profile_images/780431237555032064/H6v83dkC.jpg","View")</f>
        <v>View</v>
      </c>
    </row>
    <row r="2260" spans="1:21" ht="51">
      <c r="A2260" s="6">
        <v>43424.486180555556</v>
      </c>
      <c r="B2260" s="7" t="str">
        <f>HYPERLINK("https://twitter.com/KasperJuul_0","@KasperJuul_0")</f>
        <v>@KasperJuul_0</v>
      </c>
      <c r="C2260" s="8" t="s">
        <v>7617</v>
      </c>
      <c r="D2260" s="9" t="s">
        <v>7618</v>
      </c>
      <c r="E2260" s="10" t="str">
        <f>HYPERLINK("https://twitter.com/KasperJuul_0/status/1064830737554255872","1064830737554255872")</f>
        <v>1064830737554255872</v>
      </c>
      <c r="F2260" s="12"/>
      <c r="G2260" s="11" t="s">
        <v>7619</v>
      </c>
      <c r="H2260" s="12"/>
      <c r="I2260" s="13">
        <v>32</v>
      </c>
      <c r="J2260" s="13">
        <v>51</v>
      </c>
      <c r="K2260" s="14" t="str">
        <f t="shared" si="478"/>
        <v>Twitter Web Client</v>
      </c>
      <c r="L2260" s="13">
        <v>18862</v>
      </c>
      <c r="M2260" s="13">
        <v>108</v>
      </c>
      <c r="N2260" s="13">
        <v>194</v>
      </c>
      <c r="O2260" s="15"/>
      <c r="P2260" s="6">
        <v>42325.892870370371</v>
      </c>
      <c r="Q2260" s="12"/>
      <c r="R2260" s="17" t="s">
        <v>7620</v>
      </c>
      <c r="S2260" s="12"/>
      <c r="T2260" s="12"/>
      <c r="U2260" s="10" t="str">
        <f>HYPERLINK("https://pbs.twimg.com/profile_images/976429705393049600/CrL79fpZ.jpg","View")</f>
        <v>View</v>
      </c>
    </row>
    <row r="2261" spans="1:21" ht="30.6">
      <c r="A2261" s="6">
        <v>43424.483310185184</v>
      </c>
      <c r="B2261" s="7" t="str">
        <f>HYPERLINK("https://twitter.com/Zetainexxx","@Zetainexxx")</f>
        <v>@Zetainexxx</v>
      </c>
      <c r="C2261" s="8" t="s">
        <v>7621</v>
      </c>
      <c r="D2261" s="9" t="s">
        <v>7622</v>
      </c>
      <c r="E2261" s="10" t="str">
        <f>HYPERLINK("https://twitter.com/Zetainexxx/status/1064829700994985984","1064829700994985984")</f>
        <v>1064829700994985984</v>
      </c>
      <c r="F2261" s="12"/>
      <c r="G2261" s="12"/>
      <c r="H2261" s="12"/>
      <c r="I2261" s="13">
        <v>0</v>
      </c>
      <c r="J2261" s="13">
        <v>0</v>
      </c>
      <c r="K2261" s="14" t="str">
        <f>HYPERLINK("http://twitter.com/download/android","Twitter for Android")</f>
        <v>Twitter for Android</v>
      </c>
      <c r="L2261" s="13">
        <v>559</v>
      </c>
      <c r="M2261" s="13">
        <v>708</v>
      </c>
      <c r="N2261" s="13">
        <v>14</v>
      </c>
      <c r="O2261" s="15"/>
      <c r="P2261" s="6">
        <v>40918.797638888893</v>
      </c>
      <c r="Q2261" s="16" t="s">
        <v>7623</v>
      </c>
      <c r="R2261" s="17" t="s">
        <v>7624</v>
      </c>
      <c r="S2261" s="11" t="s">
        <v>7625</v>
      </c>
      <c r="T2261" s="12"/>
      <c r="U2261" s="10" t="str">
        <f>HYPERLINK("https://pbs.twimg.com/profile_images/961323274503442433/xI9co1qM.jpg","View")</f>
        <v>View</v>
      </c>
    </row>
    <row r="2262" spans="1:21" ht="20.399999999999999">
      <c r="A2262" s="6">
        <v>43424.481967592597</v>
      </c>
      <c r="B2262" s="7" t="str">
        <f>HYPERLINK("https://twitter.com/zoteiro","@zoteiro")</f>
        <v>@zoteiro</v>
      </c>
      <c r="C2262" s="8" t="s">
        <v>7626</v>
      </c>
      <c r="D2262" s="9" t="s">
        <v>7603</v>
      </c>
      <c r="E2262" s="10" t="str">
        <f>HYPERLINK("https://twitter.com/zoteiro/status/1064829211343499264","1064829211343499264")</f>
        <v>1064829211343499264</v>
      </c>
      <c r="F2262" s="12"/>
      <c r="G2262" s="11" t="s">
        <v>7627</v>
      </c>
      <c r="H2262" s="12"/>
      <c r="I2262" s="13">
        <v>0</v>
      </c>
      <c r="J2262" s="13">
        <v>1</v>
      </c>
      <c r="K2262" s="14" t="str">
        <f t="shared" ref="K2262:K2263" si="479">HYPERLINK("http://twitter.com","Twitter Web Client")</f>
        <v>Twitter Web Client</v>
      </c>
      <c r="L2262" s="13">
        <v>667</v>
      </c>
      <c r="M2262" s="13">
        <v>654</v>
      </c>
      <c r="N2262" s="13">
        <v>0</v>
      </c>
      <c r="O2262" s="15"/>
      <c r="P2262" s="6">
        <v>42908.642314814817</v>
      </c>
      <c r="Q2262" s="12"/>
      <c r="R2262" s="19"/>
      <c r="S2262" s="12"/>
      <c r="T2262" s="12"/>
      <c r="U2262" s="10" t="str">
        <f>HYPERLINK("https://pbs.twimg.com/profile_images/1011270132306497537/fLkXfy33.jpg","View")</f>
        <v>View</v>
      </c>
    </row>
    <row r="2263" spans="1:21" ht="40.799999999999997">
      <c r="A2263" s="6">
        <v>43424.478680555556</v>
      </c>
      <c r="B2263" s="7" t="str">
        <f>HYPERLINK("https://twitter.com/Cabezuelo1954","@Cabezuelo1954")</f>
        <v>@Cabezuelo1954</v>
      </c>
      <c r="C2263" s="8" t="s">
        <v>7628</v>
      </c>
      <c r="D2263" s="9" t="s">
        <v>7629</v>
      </c>
      <c r="E2263" s="10" t="str">
        <f>HYPERLINK("https://twitter.com/Cabezuelo1954/status/1064828023344701440","1064828023344701440")</f>
        <v>1064828023344701440</v>
      </c>
      <c r="F2263" s="11" t="s">
        <v>7484</v>
      </c>
      <c r="G2263" s="12"/>
      <c r="H2263" s="12"/>
      <c r="I2263" s="13">
        <v>1</v>
      </c>
      <c r="J2263" s="13">
        <v>0</v>
      </c>
      <c r="K2263" s="14" t="str">
        <f t="shared" si="479"/>
        <v>Twitter Web Client</v>
      </c>
      <c r="L2263" s="13">
        <v>807</v>
      </c>
      <c r="M2263" s="13">
        <v>928</v>
      </c>
      <c r="N2263" s="13">
        <v>13</v>
      </c>
      <c r="O2263" s="15"/>
      <c r="P2263" s="6">
        <v>41308.878171296295</v>
      </c>
      <c r="Q2263" s="16" t="s">
        <v>7630</v>
      </c>
      <c r="R2263" s="17" t="s">
        <v>7631</v>
      </c>
      <c r="S2263" s="12"/>
      <c r="T2263" s="12"/>
      <c r="U2263" s="10" t="str">
        <f>HYPERLINK("https://pbs.twimg.com/profile_images/1006496187548160000/la1F8nES.jpg","View")</f>
        <v>View</v>
      </c>
    </row>
    <row r="2264" spans="1:21" ht="20.399999999999999">
      <c r="A2264" s="6">
        <v>43424.475648148145</v>
      </c>
      <c r="B2264" s="7" t="str">
        <f>HYPERLINK("https://twitter.com/Eldiadigital_es","@Eldiadigital_es")</f>
        <v>@Eldiadigital_es</v>
      </c>
      <c r="C2264" s="20" t="s">
        <v>7632</v>
      </c>
      <c r="D2264" s="9" t="s">
        <v>7633</v>
      </c>
      <c r="E2264" s="10" t="str">
        <f>HYPERLINK("https://twitter.com/Eldiadigital_es/status/1064826923212308480","1064826923212308480")</f>
        <v>1064826923212308480</v>
      </c>
      <c r="F2264" s="11" t="s">
        <v>7634</v>
      </c>
      <c r="G2264" s="12"/>
      <c r="H2264" s="12"/>
      <c r="I2264" s="13">
        <v>0</v>
      </c>
      <c r="J2264" s="13">
        <v>1</v>
      </c>
      <c r="K2264" s="14" t="str">
        <f>HYPERLINK("https://www.hootsuite.com","Hootsuite Inc.")</f>
        <v>Hootsuite Inc.</v>
      </c>
      <c r="L2264" s="13">
        <v>11281</v>
      </c>
      <c r="M2264" s="13">
        <v>6464</v>
      </c>
      <c r="N2264" s="13">
        <v>142</v>
      </c>
      <c r="O2264" s="15"/>
      <c r="P2264" s="6">
        <v>41882.813645833332</v>
      </c>
      <c r="Q2264" s="16" t="s">
        <v>171</v>
      </c>
      <c r="R2264" s="17" t="s">
        <v>7635</v>
      </c>
      <c r="S2264" s="11" t="s">
        <v>7636</v>
      </c>
      <c r="T2264" s="12"/>
      <c r="U2264" s="10" t="str">
        <f>HYPERLINK("https://pbs.twimg.com/profile_images/506133036623069184/qFU5n47g.jpeg","View")</f>
        <v>View</v>
      </c>
    </row>
    <row r="2265" spans="1:21" ht="30.6">
      <c r="A2265" s="6">
        <v>43424.47456018519</v>
      </c>
      <c r="B2265" s="7" t="str">
        <f>HYPERLINK("https://twitter.com/yiyortiz","@yiyortiz")</f>
        <v>@yiyortiz</v>
      </c>
      <c r="C2265" s="8" t="s">
        <v>5662</v>
      </c>
      <c r="D2265" s="9" t="s">
        <v>5663</v>
      </c>
      <c r="E2265" s="10" t="str">
        <f>HYPERLINK("https://twitter.com/yiyortiz/status/1064826526665977856","1064826526665977856")</f>
        <v>1064826526665977856</v>
      </c>
      <c r="F2265" s="11" t="s">
        <v>5664</v>
      </c>
      <c r="G2265" s="12"/>
      <c r="H2265" s="12"/>
      <c r="I2265" s="13">
        <v>0</v>
      </c>
      <c r="J2265" s="13">
        <v>0</v>
      </c>
      <c r="K2265" s="14" t="str">
        <f>HYPERLINK("http://twitter.com/download/android","Twitter for Android")</f>
        <v>Twitter for Android</v>
      </c>
      <c r="L2265" s="13">
        <v>83</v>
      </c>
      <c r="M2265" s="13">
        <v>178</v>
      </c>
      <c r="N2265" s="13">
        <v>4</v>
      </c>
      <c r="O2265" s="15"/>
      <c r="P2265" s="6">
        <v>40627.833356481482</v>
      </c>
      <c r="Q2265" s="16" t="s">
        <v>3551</v>
      </c>
      <c r="R2265" s="17" t="s">
        <v>5665</v>
      </c>
      <c r="S2265" s="12"/>
      <c r="T2265" s="12"/>
      <c r="U2265" s="10" t="str">
        <f>HYPERLINK("https://pbs.twimg.com/profile_images/890967569699672064/hV_mDdNW.jpg","View")</f>
        <v>View</v>
      </c>
    </row>
    <row r="2266" spans="1:21" ht="51">
      <c r="A2266" s="6">
        <v>43424.473622685182</v>
      </c>
      <c r="B2266" s="7" t="str">
        <f>HYPERLINK("https://twitter.com/EuTaillefer","@EuTaillefer")</f>
        <v>@EuTaillefer</v>
      </c>
      <c r="C2266" s="8" t="s">
        <v>5666</v>
      </c>
      <c r="D2266" s="9" t="s">
        <v>5667</v>
      </c>
      <c r="E2266" s="10" t="str">
        <f>HYPERLINK("https://twitter.com/EuTaillefer/status/1064826187409747969","1064826187409747969")</f>
        <v>1064826187409747969</v>
      </c>
      <c r="F2266" s="11" t="s">
        <v>5668</v>
      </c>
      <c r="G2266" s="12"/>
      <c r="H2266" s="12"/>
      <c r="I2266" s="13">
        <v>0</v>
      </c>
      <c r="J2266" s="13">
        <v>0</v>
      </c>
      <c r="K2266" s="14" t="str">
        <f>HYPERLINK("http://twitter.com","Twitter Web Client")</f>
        <v>Twitter Web Client</v>
      </c>
      <c r="L2266" s="13">
        <v>493</v>
      </c>
      <c r="M2266" s="13">
        <v>745</v>
      </c>
      <c r="N2266" s="13">
        <v>11</v>
      </c>
      <c r="O2266" s="15"/>
      <c r="P2266" s="6">
        <v>41058.578472222223</v>
      </c>
      <c r="Q2266" s="16" t="s">
        <v>5669</v>
      </c>
      <c r="R2266" s="17" t="s">
        <v>5670</v>
      </c>
      <c r="S2266" s="12"/>
      <c r="T2266" s="12"/>
      <c r="U2266" s="10" t="str">
        <f>HYPERLINK("https://pbs.twimg.com/profile_images/428415497546129408/SLZP8Hab.jpeg","View")</f>
        <v>View</v>
      </c>
    </row>
    <row r="2267" spans="1:21" ht="20.399999999999999">
      <c r="A2267" s="6">
        <v>43424.473032407404</v>
      </c>
      <c r="B2267" s="7" t="str">
        <f>HYPERLINK("https://twitter.com/Txuspiable","@Txuspiable")</f>
        <v>@Txuspiable</v>
      </c>
      <c r="C2267" s="8" t="s">
        <v>7637</v>
      </c>
      <c r="D2267" s="9" t="s">
        <v>7638</v>
      </c>
      <c r="E2267" s="10" t="str">
        <f>HYPERLINK("https://twitter.com/Txuspiable/status/1064825974695571456","1064825974695571456")</f>
        <v>1064825974695571456</v>
      </c>
      <c r="F2267" s="11" t="s">
        <v>7058</v>
      </c>
      <c r="G2267" s="12"/>
      <c r="H2267" s="12"/>
      <c r="I2267" s="13">
        <v>0</v>
      </c>
      <c r="J2267" s="13">
        <v>0</v>
      </c>
      <c r="K2267" s="14" t="str">
        <f>HYPERLINK("http://www.facebook.com/twitter","Facebook")</f>
        <v>Facebook</v>
      </c>
      <c r="L2267" s="13">
        <v>15</v>
      </c>
      <c r="M2267" s="13">
        <v>100</v>
      </c>
      <c r="N2267" s="13">
        <v>0</v>
      </c>
      <c r="O2267" s="15"/>
      <c r="P2267" s="6">
        <v>40973.096736111111</v>
      </c>
      <c r="Q2267" s="12"/>
      <c r="R2267" s="19"/>
      <c r="S2267" s="12"/>
      <c r="T2267" s="12"/>
      <c r="U2267" s="10" t="str">
        <f>HYPERLINK("https://pbs.twimg.com/profile_images/1874308164/202966_100001444840877_8074154_n.jpg","View")</f>
        <v>View</v>
      </c>
    </row>
    <row r="2268" spans="1:21" ht="30.6">
      <c r="A2268" s="6">
        <v>43424.472916666666</v>
      </c>
      <c r="B2268" s="7" t="str">
        <f>HYPERLINK("https://twitter.com/ElHuffPost","@ElHuffPost")</f>
        <v>@ElHuffPost</v>
      </c>
      <c r="C2268" s="8" t="s">
        <v>6203</v>
      </c>
      <c r="D2268" s="9" t="s">
        <v>7440</v>
      </c>
      <c r="E2268" s="10" t="str">
        <f>HYPERLINK("https://twitter.com/ElHuffPost/status/1064825932089880576","1064825932089880576")</f>
        <v>1064825932089880576</v>
      </c>
      <c r="F2268" s="11" t="s">
        <v>7481</v>
      </c>
      <c r="G2268" s="12"/>
      <c r="H2268" s="12"/>
      <c r="I2268" s="13">
        <v>1</v>
      </c>
      <c r="J2268" s="13">
        <v>5</v>
      </c>
      <c r="K2268" s="14" t="str">
        <f>HYPERLINK("https://about.twitter.com/products/tweetdeck","TweetDeck")</f>
        <v>TweetDeck</v>
      </c>
      <c r="L2268" s="13">
        <v>430324</v>
      </c>
      <c r="M2268" s="13">
        <v>1532</v>
      </c>
      <c r="N2268" s="13">
        <v>8188</v>
      </c>
      <c r="O2268" s="18" t="s">
        <v>36</v>
      </c>
      <c r="P2268" s="6">
        <v>40785.027118055557</v>
      </c>
      <c r="Q2268" s="16" t="s">
        <v>440</v>
      </c>
      <c r="R2268" s="17" t="s">
        <v>6205</v>
      </c>
      <c r="S2268" s="11" t="s">
        <v>6206</v>
      </c>
      <c r="T2268" s="12"/>
      <c r="U2268" s="10" t="str">
        <f>HYPERLINK("https://pbs.twimg.com/profile_images/921140803422089217/ETOEUOAx.jpg","View")</f>
        <v>View</v>
      </c>
    </row>
    <row r="2269" spans="1:21" ht="51">
      <c r="A2269" s="6">
        <v>43424.472777777773</v>
      </c>
      <c r="B2269" s="7" t="str">
        <f>HYPERLINK("https://twitter.com/Albert_Rivera","@Albert_Rivera")</f>
        <v>@Albert_Rivera</v>
      </c>
      <c r="C2269" s="8" t="s">
        <v>389</v>
      </c>
      <c r="D2269" s="9" t="s">
        <v>7639</v>
      </c>
      <c r="E2269" s="10" t="str">
        <f>HYPERLINK("https://twitter.com/Albert_Rivera/status/1064825880420192256","1064825880420192256")</f>
        <v>1064825880420192256</v>
      </c>
      <c r="F2269" s="12"/>
      <c r="G2269" s="11" t="s">
        <v>5789</v>
      </c>
      <c r="H2269" s="12"/>
      <c r="I2269" s="13">
        <v>691</v>
      </c>
      <c r="J2269" s="13">
        <v>1234</v>
      </c>
      <c r="K2269" s="14" t="str">
        <f>HYPERLINK("http://twitter.com/download/iphone","Twitter for iPhone")</f>
        <v>Twitter for iPhone</v>
      </c>
      <c r="L2269" s="13">
        <v>1071530</v>
      </c>
      <c r="M2269" s="13">
        <v>2545</v>
      </c>
      <c r="N2269" s="13">
        <v>5104</v>
      </c>
      <c r="O2269" s="18" t="s">
        <v>36</v>
      </c>
      <c r="P2269" s="6">
        <v>40205.748171296298</v>
      </c>
      <c r="Q2269" s="16" t="s">
        <v>37</v>
      </c>
      <c r="R2269" s="17" t="s">
        <v>393</v>
      </c>
      <c r="S2269" s="11" t="s">
        <v>394</v>
      </c>
      <c r="T2269" s="12"/>
      <c r="U2269" s="10" t="str">
        <f>HYPERLINK("https://pbs.twimg.com/profile_images/1030708936779988993/RncDM4EZ.jpg","View")</f>
        <v>View</v>
      </c>
    </row>
    <row r="2270" spans="1:21" ht="20.399999999999999">
      <c r="A2270" s="6">
        <v>43424.472581018519</v>
      </c>
      <c r="B2270" s="7" t="str">
        <f>HYPERLINK("https://twitter.com/vicenterl1","@vicenterl1")</f>
        <v>@vicenterl1</v>
      </c>
      <c r="C2270" s="8" t="s">
        <v>7640</v>
      </c>
      <c r="D2270" s="9" t="s">
        <v>7641</v>
      </c>
      <c r="E2270" s="10" t="str">
        <f>HYPERLINK("https://twitter.com/vicenterl1/status/1064825809024765952","1064825809024765952")</f>
        <v>1064825809024765952</v>
      </c>
      <c r="F2270" s="11" t="s">
        <v>7642</v>
      </c>
      <c r="G2270" s="12"/>
      <c r="H2270" s="12"/>
      <c r="I2270" s="13">
        <v>0</v>
      </c>
      <c r="J2270" s="13">
        <v>0</v>
      </c>
      <c r="K2270" s="14" t="str">
        <f>HYPERLINK("http://twitter.com","Twitter Web Client")</f>
        <v>Twitter Web Client</v>
      </c>
      <c r="L2270" s="13">
        <v>186</v>
      </c>
      <c r="M2270" s="13">
        <v>16</v>
      </c>
      <c r="N2270" s="13">
        <v>15</v>
      </c>
      <c r="O2270" s="15"/>
      <c r="P2270" s="6">
        <v>40440.082858796297</v>
      </c>
      <c r="Q2270" s="16" t="s">
        <v>3764</v>
      </c>
      <c r="R2270" s="19"/>
      <c r="S2270" s="11" t="s">
        <v>7643</v>
      </c>
      <c r="T2270" s="12"/>
      <c r="U2270" s="10" t="str">
        <f>HYPERLINK("https://pbs.twimg.com/profile_images/3128450797/a8592354dd7b9d58b220eb29ed356b0c.jpeg","View")</f>
        <v>View</v>
      </c>
    </row>
    <row r="2271" spans="1:21" ht="40.799999999999997">
      <c r="A2271" s="6">
        <v>43424.470636574071</v>
      </c>
      <c r="B2271" s="7" t="str">
        <f>HYPERLINK("https://twitter.com/SuperRoStar","@SuperRoStar")</f>
        <v>@SuperRoStar</v>
      </c>
      <c r="C2271" s="8" t="s">
        <v>5671</v>
      </c>
      <c r="D2271" s="9" t="s">
        <v>5672</v>
      </c>
      <c r="E2271" s="10" t="str">
        <f>HYPERLINK("https://twitter.com/SuperRoStar/status/1064825105577111553","1064825105577111553")</f>
        <v>1064825105577111553</v>
      </c>
      <c r="F2271" s="11" t="s">
        <v>5673</v>
      </c>
      <c r="G2271" s="12"/>
      <c r="H2271" s="12"/>
      <c r="I2271" s="13">
        <v>1</v>
      </c>
      <c r="J2271" s="13">
        <v>0</v>
      </c>
      <c r="K2271" s="14" t="str">
        <f t="shared" ref="K2271:K2272" si="480">HYPERLINK("http://twitter.com/download/android","Twitter for Android")</f>
        <v>Twitter for Android</v>
      </c>
      <c r="L2271" s="13">
        <v>1699</v>
      </c>
      <c r="M2271" s="13">
        <v>706</v>
      </c>
      <c r="N2271" s="13">
        <v>34</v>
      </c>
      <c r="O2271" s="15"/>
      <c r="P2271" s="6">
        <v>40963.898518518516</v>
      </c>
      <c r="Q2271" s="16" t="s">
        <v>496</v>
      </c>
      <c r="R2271" s="17" t="s">
        <v>5674</v>
      </c>
      <c r="S2271" s="11" t="s">
        <v>5675</v>
      </c>
      <c r="T2271" s="12"/>
      <c r="U2271" s="10" t="str">
        <f>HYPERLINK("https://pbs.twimg.com/profile_images/847436402383925248/xgQoFEk0.jpg","View")</f>
        <v>View</v>
      </c>
    </row>
    <row r="2272" spans="1:21" ht="71.400000000000006">
      <c r="A2272" s="6">
        <v>43424.468692129631</v>
      </c>
      <c r="B2272" s="7" t="str">
        <f>HYPERLINK("https://twitter.com/EchavarrRuiz","@EchavarrRuiz")</f>
        <v>@EchavarrRuiz</v>
      </c>
      <c r="C2272" s="8" t="s">
        <v>5676</v>
      </c>
      <c r="D2272" s="9" t="s">
        <v>5677</v>
      </c>
      <c r="E2272" s="10" t="str">
        <f>HYPERLINK("https://twitter.com/EchavarrRuiz/status/1064824402309718016","1064824402309718016")</f>
        <v>1064824402309718016</v>
      </c>
      <c r="F2272" s="16" t="s">
        <v>5678</v>
      </c>
      <c r="G2272" s="12"/>
      <c r="H2272" s="12"/>
      <c r="I2272" s="13">
        <v>0</v>
      </c>
      <c r="J2272" s="13">
        <v>0</v>
      </c>
      <c r="K2272" s="14" t="str">
        <f t="shared" si="480"/>
        <v>Twitter for Android</v>
      </c>
      <c r="L2272" s="13">
        <v>108</v>
      </c>
      <c r="M2272" s="13">
        <v>410</v>
      </c>
      <c r="N2272" s="13">
        <v>3</v>
      </c>
      <c r="O2272" s="15"/>
      <c r="P2272" s="6">
        <v>42155.718703703707</v>
      </c>
      <c r="Q2272" s="12"/>
      <c r="R2272" s="17" t="s">
        <v>5679</v>
      </c>
      <c r="S2272" s="12"/>
      <c r="T2272" s="12"/>
      <c r="U2272" s="10" t="str">
        <f>HYPERLINK("https://pbs.twimg.com/profile_images/986515835371118592/2goeotJl.jpg","View")</f>
        <v>View</v>
      </c>
    </row>
    <row r="2273" spans="1:21" ht="51">
      <c r="A2273" s="6">
        <v>43424.468472222223</v>
      </c>
      <c r="B2273" s="7" t="str">
        <f>HYPERLINK("https://twitter.com/TroyaBcn","@TroyaBcn")</f>
        <v>@TroyaBcn</v>
      </c>
      <c r="C2273" s="8" t="s">
        <v>5149</v>
      </c>
      <c r="D2273" s="9" t="s">
        <v>5681</v>
      </c>
      <c r="E2273" s="10" t="str">
        <f>HYPERLINK("https://twitter.com/TroyaBcn/status/1064824321074520064","1064824321074520064")</f>
        <v>1064824321074520064</v>
      </c>
      <c r="F2273" s="11" t="s">
        <v>5683</v>
      </c>
      <c r="G2273" s="12"/>
      <c r="H2273" s="12"/>
      <c r="I2273" s="13">
        <v>1</v>
      </c>
      <c r="J2273" s="13">
        <v>0</v>
      </c>
      <c r="K2273" s="14" t="str">
        <f t="shared" ref="K2273:K2275" si="481">HYPERLINK("http://twitter.com","Twitter Web Client")</f>
        <v>Twitter Web Client</v>
      </c>
      <c r="L2273" s="13">
        <v>1355</v>
      </c>
      <c r="M2273" s="13">
        <v>3990</v>
      </c>
      <c r="N2273" s="13">
        <v>21</v>
      </c>
      <c r="O2273" s="15"/>
      <c r="P2273" s="6">
        <v>41056.910613425927</v>
      </c>
      <c r="Q2273" s="16" t="s">
        <v>5153</v>
      </c>
      <c r="R2273" s="17" t="s">
        <v>5154</v>
      </c>
      <c r="S2273" s="11" t="s">
        <v>5155</v>
      </c>
      <c r="T2273" s="12"/>
      <c r="U2273" s="10" t="str">
        <f>HYPERLINK("https://pbs.twimg.com/profile_images/1008982739515858944/kkXVAszL.jpg","View")</f>
        <v>View</v>
      </c>
    </row>
    <row r="2274" spans="1:21" ht="30.6">
      <c r="A2274" s="6">
        <v>43424.468032407407</v>
      </c>
      <c r="B2274" s="7" t="str">
        <f>HYPERLINK("https://twitter.com/SER_Comunica","@SER_Comunica")</f>
        <v>@SER_Comunica</v>
      </c>
      <c r="C2274" s="8" t="s">
        <v>3787</v>
      </c>
      <c r="D2274" s="9" t="s">
        <v>5685</v>
      </c>
      <c r="E2274" s="10" t="str">
        <f>HYPERLINK("https://twitter.com/SER_Comunica/status/1064824160868855808","1064824160868855808")</f>
        <v>1064824160868855808</v>
      </c>
      <c r="F2274" s="12"/>
      <c r="G2274" s="11" t="s">
        <v>5686</v>
      </c>
      <c r="H2274" s="12"/>
      <c r="I2274" s="13">
        <v>1</v>
      </c>
      <c r="J2274" s="13">
        <v>0</v>
      </c>
      <c r="K2274" s="14" t="str">
        <f t="shared" si="481"/>
        <v>Twitter Web Client</v>
      </c>
      <c r="L2274" s="13">
        <v>1699</v>
      </c>
      <c r="M2274" s="13">
        <v>324</v>
      </c>
      <c r="N2274" s="13">
        <v>34</v>
      </c>
      <c r="O2274" s="15"/>
      <c r="P2274" s="6">
        <v>41648.583101851851</v>
      </c>
      <c r="Q2274" s="16" t="s">
        <v>37</v>
      </c>
      <c r="R2274" s="17" t="s">
        <v>3791</v>
      </c>
      <c r="S2274" s="12"/>
      <c r="T2274" s="12"/>
      <c r="U2274" s="10" t="str">
        <f>HYPERLINK("https://pbs.twimg.com/profile_images/1048147172951293954/1Ga4FC_w.jpg","View")</f>
        <v>View</v>
      </c>
    </row>
    <row r="2275" spans="1:21" ht="40.799999999999997">
      <c r="A2275" s="6">
        <v>43424.466874999998</v>
      </c>
      <c r="B2275" s="7" t="str">
        <f>HYPERLINK("https://twitter.com/Mediagua","@Mediagua")</f>
        <v>@Mediagua</v>
      </c>
      <c r="C2275" s="8" t="s">
        <v>3259</v>
      </c>
      <c r="D2275" s="9" t="s">
        <v>5689</v>
      </c>
      <c r="E2275" s="10" t="str">
        <f>HYPERLINK("https://twitter.com/Mediagua/status/1064823741954367488","1064823741954367488")</f>
        <v>1064823741954367488</v>
      </c>
      <c r="F2275" s="12"/>
      <c r="G2275" s="12"/>
      <c r="H2275" s="12"/>
      <c r="I2275" s="13">
        <v>0</v>
      </c>
      <c r="J2275" s="13">
        <v>0</v>
      </c>
      <c r="K2275" s="14" t="str">
        <f t="shared" si="481"/>
        <v>Twitter Web Client</v>
      </c>
      <c r="L2275" s="13">
        <v>514</v>
      </c>
      <c r="M2275" s="13">
        <v>497</v>
      </c>
      <c r="N2275" s="13">
        <v>7</v>
      </c>
      <c r="O2275" s="15"/>
      <c r="P2275" s="6">
        <v>42237.538784722223</v>
      </c>
      <c r="Q2275" s="16" t="s">
        <v>3261</v>
      </c>
      <c r="R2275" s="19"/>
      <c r="S2275" s="12"/>
      <c r="T2275" s="12"/>
      <c r="U2275" s="10" t="str">
        <f>HYPERLINK("https://pbs.twimg.com/profile_images/634680532404707328/PDaGkIJ0.jpg","View")</f>
        <v>View</v>
      </c>
    </row>
    <row r="2276" spans="1:21" ht="40.799999999999997">
      <c r="A2276" s="6">
        <v>43424.466666666667</v>
      </c>
      <c r="B2276" s="7" t="str">
        <f>HYPERLINK("https://twitter.com/El_Plural","@El_Plural")</f>
        <v>@El_Plural</v>
      </c>
      <c r="C2276" s="8" t="s">
        <v>5159</v>
      </c>
      <c r="D2276" s="9" t="s">
        <v>7644</v>
      </c>
      <c r="E2276" s="10" t="str">
        <f>HYPERLINK("https://twitter.com/El_Plural/status/1064823667253805057","1064823667253805057")</f>
        <v>1064823667253805057</v>
      </c>
      <c r="F2276" s="11" t="s">
        <v>7488</v>
      </c>
      <c r="G2276" s="12"/>
      <c r="H2276" s="12"/>
      <c r="I2276" s="13">
        <v>1</v>
      </c>
      <c r="J2276" s="13">
        <v>0</v>
      </c>
      <c r="K2276" s="14" t="str">
        <f>HYPERLINK("https://about.twitter.com/products/tweetdeck","TweetDeck")</f>
        <v>TweetDeck</v>
      </c>
      <c r="L2276" s="13">
        <v>71891</v>
      </c>
      <c r="M2276" s="13">
        <v>1644</v>
      </c>
      <c r="N2276" s="13">
        <v>2012</v>
      </c>
      <c r="O2276" s="15"/>
      <c r="P2276" s="6">
        <v>40351.51053240741</v>
      </c>
      <c r="Q2276" s="16" t="s">
        <v>37</v>
      </c>
      <c r="R2276" s="17" t="s">
        <v>5162</v>
      </c>
      <c r="S2276" s="11" t="s">
        <v>5163</v>
      </c>
      <c r="T2276" s="12"/>
      <c r="U2276" s="10" t="str">
        <f>HYPERLINK("https://pbs.twimg.com/profile_images/1017707018138857473/kUt8X2tn.jpg","View")</f>
        <v>View</v>
      </c>
    </row>
    <row r="2277" spans="1:21" ht="30.6">
      <c r="A2277" s="6">
        <v>43424.466504629629</v>
      </c>
      <c r="B2277" s="7" t="str">
        <f>HYPERLINK("https://twitter.com/Subnorbook","@Subnorbook")</f>
        <v>@Subnorbook</v>
      </c>
      <c r="C2277" s="8" t="s">
        <v>7645</v>
      </c>
      <c r="D2277" s="9" t="s">
        <v>7646</v>
      </c>
      <c r="E2277" s="10" t="str">
        <f>HYPERLINK("https://twitter.com/Subnorbook/status/1064823610165116928","1064823610165116928")</f>
        <v>1064823610165116928</v>
      </c>
      <c r="F2277" s="12"/>
      <c r="G2277" s="12"/>
      <c r="H2277" s="12"/>
      <c r="I2277" s="13">
        <v>10</v>
      </c>
      <c r="J2277" s="13">
        <v>30</v>
      </c>
      <c r="K2277" s="14" t="str">
        <f t="shared" ref="K2277:K2278" si="482">HYPERLINK("http://twitter.com","Twitter Web Client")</f>
        <v>Twitter Web Client</v>
      </c>
      <c r="L2277" s="13">
        <v>11255</v>
      </c>
      <c r="M2277" s="13">
        <v>1091</v>
      </c>
      <c r="N2277" s="13">
        <v>192</v>
      </c>
      <c r="O2277" s="15"/>
      <c r="P2277" s="6">
        <v>40576.455497685187</v>
      </c>
      <c r="Q2277" s="16" t="s">
        <v>7647</v>
      </c>
      <c r="R2277" s="17" t="s">
        <v>7648</v>
      </c>
      <c r="S2277" s="11" t="s">
        <v>7649</v>
      </c>
      <c r="T2277" s="12"/>
      <c r="U2277" s="10" t="str">
        <f>HYPERLINK("https://pbs.twimg.com/profile_images/1062620010126995456/RYDgdsJC.jpg","View")</f>
        <v>View</v>
      </c>
    </row>
    <row r="2278" spans="1:21" ht="30.6">
      <c r="A2278" s="6">
        <v>43424.464942129634</v>
      </c>
      <c r="B2278" s="7" t="str">
        <f>HYPERLINK("https://twitter.com/eldigitalCLM","@eldigitalCLM")</f>
        <v>@eldigitalCLM</v>
      </c>
      <c r="C2278" s="8" t="s">
        <v>7650</v>
      </c>
      <c r="D2278" s="9" t="s">
        <v>7651</v>
      </c>
      <c r="E2278" s="10" t="str">
        <f>HYPERLINK("https://twitter.com/eldigitalCLM/status/1064823041157459969","1064823041157459969")</f>
        <v>1064823041157459969</v>
      </c>
      <c r="F2278" s="11" t="s">
        <v>7484</v>
      </c>
      <c r="G2278" s="12"/>
      <c r="H2278" s="12"/>
      <c r="I2278" s="13">
        <v>0</v>
      </c>
      <c r="J2278" s="13">
        <v>0</v>
      </c>
      <c r="K2278" s="14" t="str">
        <f t="shared" si="482"/>
        <v>Twitter Web Client</v>
      </c>
      <c r="L2278" s="13">
        <v>18306</v>
      </c>
      <c r="M2278" s="13">
        <v>1967</v>
      </c>
      <c r="N2278" s="13">
        <v>302</v>
      </c>
      <c r="O2278" s="15"/>
      <c r="P2278" s="6">
        <v>40933.756481481483</v>
      </c>
      <c r="Q2278" s="16" t="s">
        <v>171</v>
      </c>
      <c r="R2278" s="17" t="s">
        <v>7652</v>
      </c>
      <c r="S2278" s="11" t="s">
        <v>7653</v>
      </c>
      <c r="T2278" s="12"/>
      <c r="U2278" s="10" t="str">
        <f>HYPERLINK("https://pbs.twimg.com/profile_images/552786336529137664/AGjDKk-k.jpeg","View")</f>
        <v>View</v>
      </c>
    </row>
    <row r="2279" spans="1:21" ht="30.6">
      <c r="A2279" s="6">
        <v>43424.463692129633</v>
      </c>
      <c r="B2279" s="7" t="str">
        <f>HYPERLINK("https://twitter.com/elperiodico","@elperiodico")</f>
        <v>@elperiodico</v>
      </c>
      <c r="C2279" s="8" t="s">
        <v>1583</v>
      </c>
      <c r="D2279" s="9" t="s">
        <v>5692</v>
      </c>
      <c r="E2279" s="10" t="str">
        <f>HYPERLINK("https://twitter.com/elperiodico/status/1064822590592696320","1064822590592696320")</f>
        <v>1064822590592696320</v>
      </c>
      <c r="F2279" s="11" t="s">
        <v>5693</v>
      </c>
      <c r="G2279" s="12"/>
      <c r="H2279" s="12"/>
      <c r="I2279" s="13">
        <v>1</v>
      </c>
      <c r="J2279" s="13">
        <v>5</v>
      </c>
      <c r="K2279" s="14" t="str">
        <f>HYPERLINK("http://dogtrack.es","DogTrack_Oficial")</f>
        <v>DogTrack_Oficial</v>
      </c>
      <c r="L2279" s="13">
        <v>596514</v>
      </c>
      <c r="M2279" s="13">
        <v>18498</v>
      </c>
      <c r="N2279" s="13">
        <v>6922</v>
      </c>
      <c r="O2279" s="18" t="s">
        <v>36</v>
      </c>
      <c r="P2279" s="6">
        <v>40456.539560185185</v>
      </c>
      <c r="Q2279" s="16" t="s">
        <v>75</v>
      </c>
      <c r="R2279" s="17" t="s">
        <v>1588</v>
      </c>
      <c r="S2279" s="11" t="s">
        <v>1589</v>
      </c>
      <c r="T2279" s="12"/>
      <c r="U2279" s="10" t="str">
        <f>HYPERLINK("https://pbs.twimg.com/profile_images/876802324135653377/s4G6oS9o.jpg","View")</f>
        <v>View</v>
      </c>
    </row>
    <row r="2280" spans="1:21" ht="51">
      <c r="A2280" s="6">
        <v>43424.46361111111</v>
      </c>
      <c r="B2280" s="7" t="str">
        <f>HYPERLINK("https://twitter.com/LuisJavierSanj2","@LuisJavierSanj2")</f>
        <v>@LuisJavierSanj2</v>
      </c>
      <c r="C2280" s="8" t="s">
        <v>2648</v>
      </c>
      <c r="D2280" s="9" t="s">
        <v>7654</v>
      </c>
      <c r="E2280" s="10" t="str">
        <f>HYPERLINK("https://twitter.com/LuisJavierSanj2/status/1064822558929952768","1064822558929952768")</f>
        <v>1064822558929952768</v>
      </c>
      <c r="F2280" s="11" t="s">
        <v>7058</v>
      </c>
      <c r="G2280" s="12"/>
      <c r="H2280" s="12"/>
      <c r="I2280" s="13">
        <v>0</v>
      </c>
      <c r="J2280" s="13">
        <v>0</v>
      </c>
      <c r="K2280" s="14" t="str">
        <f>HYPERLINK("http://twitter.com/download/android","Twitter for Android")</f>
        <v>Twitter for Android</v>
      </c>
      <c r="L2280" s="13">
        <v>809</v>
      </c>
      <c r="M2280" s="13">
        <v>1236</v>
      </c>
      <c r="N2280" s="13">
        <v>1</v>
      </c>
      <c r="O2280" s="15"/>
      <c r="P2280" s="6">
        <v>43017.871759259258</v>
      </c>
      <c r="Q2280" s="12"/>
      <c r="R2280" s="17" t="s">
        <v>2655</v>
      </c>
      <c r="S2280" s="12"/>
      <c r="T2280" s="12"/>
      <c r="U2280" s="10" t="str">
        <f>HYPERLINK("https://pbs.twimg.com/profile_images/983037090681245696/C-KQIcbF.jpg","View")</f>
        <v>View</v>
      </c>
    </row>
    <row r="2281" spans="1:21" ht="40.799999999999997">
      <c r="A2281" s="6">
        <v>43424.459363425922</v>
      </c>
      <c r="B2281" s="7" t="str">
        <f>HYPERLINK("https://twitter.com/EstadoDeSitio_","@EstadoDeSitio_")</f>
        <v>@EstadoDeSitio_</v>
      </c>
      <c r="C2281" s="8" t="s">
        <v>7435</v>
      </c>
      <c r="D2281" s="9" t="s">
        <v>7655</v>
      </c>
      <c r="E2281" s="10" t="str">
        <f>HYPERLINK("https://twitter.com/EstadoDeSitio_/status/1064821020316614657","1064821020316614657")</f>
        <v>1064821020316614657</v>
      </c>
      <c r="F2281" s="11" t="s">
        <v>7656</v>
      </c>
      <c r="G2281" s="12"/>
      <c r="H2281" s="12"/>
      <c r="I2281" s="13">
        <v>0</v>
      </c>
      <c r="J2281" s="13">
        <v>0</v>
      </c>
      <c r="K2281" s="14" t="str">
        <f>HYPERLINK("https://ifttt.com","IFTTT")</f>
        <v>IFTTT</v>
      </c>
      <c r="L2281" s="13">
        <v>3046</v>
      </c>
      <c r="M2281" s="13">
        <v>3070</v>
      </c>
      <c r="N2281" s="13">
        <v>5</v>
      </c>
      <c r="O2281" s="15"/>
      <c r="P2281" s="6">
        <v>43025.072835648149</v>
      </c>
      <c r="Q2281" s="16" t="s">
        <v>2952</v>
      </c>
      <c r="R2281" s="17" t="s">
        <v>7438</v>
      </c>
      <c r="S2281" s="12"/>
      <c r="T2281" s="12"/>
      <c r="U2281" s="10" t="str">
        <f>HYPERLINK("https://pbs.twimg.com/profile_images/920076409808261121/GMzYHJhU.jpg","View")</f>
        <v>View</v>
      </c>
    </row>
    <row r="2282" spans="1:21" ht="51">
      <c r="A2282" s="6">
        <v>43424.458819444444</v>
      </c>
      <c r="B2282" s="7" t="str">
        <f>HYPERLINK("https://twitter.com/iessu1966","@iessu1966")</f>
        <v>@iessu1966</v>
      </c>
      <c r="C2282" s="8" t="s">
        <v>5694</v>
      </c>
      <c r="D2282" s="9" t="s">
        <v>5695</v>
      </c>
      <c r="E2282" s="10" t="str">
        <f>HYPERLINK("https://twitter.com/iessu1966/status/1064820825159884800","1064820825159884800")</f>
        <v>1064820825159884800</v>
      </c>
      <c r="F2282" s="11" t="s">
        <v>5698</v>
      </c>
      <c r="G2282" s="11" t="s">
        <v>5699</v>
      </c>
      <c r="H2282" s="12"/>
      <c r="I2282" s="13">
        <v>0</v>
      </c>
      <c r="J2282" s="13">
        <v>1</v>
      </c>
      <c r="K2282" s="14" t="str">
        <f t="shared" ref="K2282:K2283" si="483">HYPERLINK("http://twitter.com/download/android","Twitter for Android")</f>
        <v>Twitter for Android</v>
      </c>
      <c r="L2282" s="13">
        <v>155</v>
      </c>
      <c r="M2282" s="13">
        <v>365</v>
      </c>
      <c r="N2282" s="13">
        <v>1</v>
      </c>
      <c r="O2282" s="15"/>
      <c r="P2282" s="6">
        <v>41973.920173611114</v>
      </c>
      <c r="Q2282" s="16" t="s">
        <v>5701</v>
      </c>
      <c r="R2282" s="17" t="s">
        <v>5703</v>
      </c>
      <c r="S2282" s="12"/>
      <c r="T2282" s="12"/>
      <c r="U2282" s="10" t="str">
        <f>HYPERLINK("https://pbs.twimg.com/profile_images/978907429718183936/HSZrAUgW.jpg","View")</f>
        <v>View</v>
      </c>
    </row>
    <row r="2283" spans="1:21" ht="61.2">
      <c r="A2283" s="6">
        <v>43424.457777777774</v>
      </c>
      <c r="B2283" s="7" t="str">
        <f>HYPERLINK("https://twitter.com/AuroraVillegas","@AuroraVillegas")</f>
        <v>@AuroraVillegas</v>
      </c>
      <c r="C2283" s="8" t="s">
        <v>5580</v>
      </c>
      <c r="D2283" s="9" t="s">
        <v>5707</v>
      </c>
      <c r="E2283" s="10" t="str">
        <f>HYPERLINK("https://twitter.com/AuroraVillegas/status/1064820447253020673","1064820447253020673")</f>
        <v>1064820447253020673</v>
      </c>
      <c r="F2283" s="16" t="s">
        <v>5709</v>
      </c>
      <c r="G2283" s="12"/>
      <c r="H2283" s="12"/>
      <c r="I2283" s="13">
        <v>1</v>
      </c>
      <c r="J2283" s="13">
        <v>3</v>
      </c>
      <c r="K2283" s="14" t="str">
        <f t="shared" si="483"/>
        <v>Twitter for Android</v>
      </c>
      <c r="L2283" s="13">
        <v>36</v>
      </c>
      <c r="M2283" s="13">
        <v>60</v>
      </c>
      <c r="N2283" s="13">
        <v>0</v>
      </c>
      <c r="O2283" s="15"/>
      <c r="P2283" s="6">
        <v>40609.920486111107</v>
      </c>
      <c r="Q2283" s="16" t="s">
        <v>366</v>
      </c>
      <c r="R2283" s="19"/>
      <c r="S2283" s="12"/>
      <c r="T2283" s="12"/>
      <c r="U2283" s="10" t="str">
        <f>HYPERLINK("https://pbs.twimg.com/profile_images/1037457443557724160/T1-Ejr1s.jpg","View")</f>
        <v>View</v>
      </c>
    </row>
    <row r="2284" spans="1:21" ht="20.399999999999999">
      <c r="A2284" s="6">
        <v>43424.456759259258</v>
      </c>
      <c r="B2284" s="7" t="str">
        <f>HYPERLINK("https://twitter.com/PBMarbeMalaga","@PBMarbeMalaga")</f>
        <v>@PBMarbeMalaga</v>
      </c>
      <c r="C2284" s="8" t="s">
        <v>2068</v>
      </c>
      <c r="D2284" s="9" t="s">
        <v>7657</v>
      </c>
      <c r="E2284" s="10" t="str">
        <f>HYPERLINK("https://twitter.com/PBMarbeMalaga/status/1064820078393348096","1064820078393348096")</f>
        <v>1064820078393348096</v>
      </c>
      <c r="F2284" s="11" t="s">
        <v>7656</v>
      </c>
      <c r="G2284" s="12"/>
      <c r="H2284" s="12"/>
      <c r="I2284" s="13">
        <v>0</v>
      </c>
      <c r="J2284" s="13">
        <v>0</v>
      </c>
      <c r="K2284" s="14" t="str">
        <f>HYPERLINK("https://javitang.ddns.net","PBMarbeMalaga")</f>
        <v>PBMarbeMalaga</v>
      </c>
      <c r="L2284" s="13">
        <v>1222</v>
      </c>
      <c r="M2284" s="13">
        <v>1245</v>
      </c>
      <c r="N2284" s="13">
        <v>2</v>
      </c>
      <c r="O2284" s="15"/>
      <c r="P2284" s="6">
        <v>43149.814074074078</v>
      </c>
      <c r="Q2284" s="16" t="s">
        <v>2073</v>
      </c>
      <c r="R2284" s="17" t="s">
        <v>2074</v>
      </c>
      <c r="S2284" s="12"/>
      <c r="T2284" s="12"/>
      <c r="U2284" s="10" t="str">
        <f>HYPERLINK("https://pbs.twimg.com/profile_images/965296691145531392/sAFnfUu2.jpg","View")</f>
        <v>View</v>
      </c>
    </row>
    <row r="2285" spans="1:21" ht="40.799999999999997">
      <c r="A2285" s="6">
        <v>43424.455648148149</v>
      </c>
      <c r="B2285" s="7" t="str">
        <f>HYPERLINK("https://twitter.com/Servimedia","@Servimedia")</f>
        <v>@Servimedia</v>
      </c>
      <c r="C2285" s="8" t="s">
        <v>1570</v>
      </c>
      <c r="D2285" s="9" t="s">
        <v>5713</v>
      </c>
      <c r="E2285" s="10" t="str">
        <f>HYPERLINK("https://twitter.com/Servimedia/status/1064819672997085185","1064819672997085185")</f>
        <v>1064819672997085185</v>
      </c>
      <c r="F2285" s="11" t="s">
        <v>5716</v>
      </c>
      <c r="G2285" s="12"/>
      <c r="H2285" s="12"/>
      <c r="I2285" s="13">
        <v>0</v>
      </c>
      <c r="J2285" s="13">
        <v>0</v>
      </c>
      <c r="K2285" s="14" t="str">
        <f>HYPERLINK("http://twitter.com","Twitter Web Client")</f>
        <v>Twitter Web Client</v>
      </c>
      <c r="L2285" s="13">
        <v>14187</v>
      </c>
      <c r="M2285" s="13">
        <v>803</v>
      </c>
      <c r="N2285" s="13">
        <v>805</v>
      </c>
      <c r="O2285" s="15"/>
      <c r="P2285" s="6">
        <v>40463.71806712963</v>
      </c>
      <c r="Q2285" s="16" t="s">
        <v>118</v>
      </c>
      <c r="R2285" s="17" t="s">
        <v>1576</v>
      </c>
      <c r="S2285" s="11" t="s">
        <v>1577</v>
      </c>
      <c r="T2285" s="12"/>
      <c r="U2285" s="10" t="str">
        <f>HYPERLINK("https://pbs.twimg.com/profile_images/912315408295874561/JZPwOPx_.jpg","View")</f>
        <v>View</v>
      </c>
    </row>
    <row r="2286" spans="1:21" ht="40.799999999999997">
      <c r="A2286" s="6">
        <v>43424.45521990741</v>
      </c>
      <c r="B2286" s="7" t="str">
        <f>HYPERLINK("https://twitter.com/Trinidad_Lobato","@Trinidad_Lobato")</f>
        <v>@Trinidad_Lobato</v>
      </c>
      <c r="C2286" s="8" t="s">
        <v>5721</v>
      </c>
      <c r="D2286" s="9" t="s">
        <v>5722</v>
      </c>
      <c r="E2286" s="10" t="str">
        <f>HYPERLINK("https://twitter.com/Trinidad_Lobato/status/1064819520819380224","1064819520819380224")</f>
        <v>1064819520819380224</v>
      </c>
      <c r="F2286" s="12"/>
      <c r="G2286" s="11" t="s">
        <v>5724</v>
      </c>
      <c r="H2286" s="12"/>
      <c r="I2286" s="13">
        <v>6</v>
      </c>
      <c r="J2286" s="13">
        <v>6</v>
      </c>
      <c r="K2286" s="14" t="str">
        <f>HYPERLINK("http://twitter.com/download/android","Twitter for Android")</f>
        <v>Twitter for Android</v>
      </c>
      <c r="L2286" s="13">
        <v>2244</v>
      </c>
      <c r="M2286" s="13">
        <v>1398</v>
      </c>
      <c r="N2286" s="13">
        <v>25</v>
      </c>
      <c r="O2286" s="15"/>
      <c r="P2286" s="6">
        <v>42077.504490740743</v>
      </c>
      <c r="Q2286" s="12"/>
      <c r="R2286" s="17" t="s">
        <v>5728</v>
      </c>
      <c r="S2286" s="12"/>
      <c r="T2286" s="12"/>
      <c r="U2286" s="10" t="str">
        <f>HYPERLINK("https://pbs.twimg.com/profile_images/765183368468238336/wBM6qJHe.jpg","View")</f>
        <v>View</v>
      </c>
    </row>
    <row r="2287" spans="1:21" ht="13.2">
      <c r="A2287" s="6">
        <v>43424.449861111112</v>
      </c>
      <c r="B2287" s="7" t="str">
        <f>HYPERLINK("https://twitter.com/alvaro7carvajal","@alvaro7carvajal")</f>
        <v>@alvaro7carvajal</v>
      </c>
      <c r="C2287" s="8" t="s">
        <v>7658</v>
      </c>
      <c r="D2287" s="9" t="s">
        <v>7659</v>
      </c>
      <c r="E2287" s="10" t="str">
        <f>HYPERLINK("https://twitter.com/alvaro7carvajal/status/1064817577195724800","1064817577195724800")</f>
        <v>1064817577195724800</v>
      </c>
      <c r="F2287" s="11" t="s">
        <v>7058</v>
      </c>
      <c r="G2287" s="12"/>
      <c r="H2287" s="12"/>
      <c r="I2287" s="13">
        <v>0</v>
      </c>
      <c r="J2287" s="13">
        <v>0</v>
      </c>
      <c r="K2287" s="14" t="str">
        <f>HYPERLINK("http://twitter.com","Twitter Web Client")</f>
        <v>Twitter Web Client</v>
      </c>
      <c r="L2287" s="13">
        <v>7361</v>
      </c>
      <c r="M2287" s="13">
        <v>1437</v>
      </c>
      <c r="N2287" s="13">
        <v>203</v>
      </c>
      <c r="O2287" s="15"/>
      <c r="P2287" s="6">
        <v>40414.515150462961</v>
      </c>
      <c r="Q2287" s="16" t="s">
        <v>496</v>
      </c>
      <c r="R2287" s="17" t="s">
        <v>7660</v>
      </c>
      <c r="S2287" s="11" t="s">
        <v>7661</v>
      </c>
      <c r="T2287" s="12"/>
      <c r="U2287" s="10" t="str">
        <f>HYPERLINK("https://pbs.twimg.com/profile_images/452138262803406848/RBxh_pp5.jpeg","View")</f>
        <v>View</v>
      </c>
    </row>
    <row r="2288" spans="1:21" ht="51">
      <c r="A2288" s="6">
        <v>43424.449618055558</v>
      </c>
      <c r="B2288" s="7" t="str">
        <f>HYPERLINK("https://twitter.com/Julianvirome","@Julianvirome")</f>
        <v>@Julianvirome</v>
      </c>
      <c r="C2288" s="8" t="s">
        <v>7662</v>
      </c>
      <c r="D2288" s="9" t="s">
        <v>7663</v>
      </c>
      <c r="E2288" s="10" t="str">
        <f>HYPERLINK("https://twitter.com/Julianvirome/status/1064817488221929472","1064817488221929472")</f>
        <v>1064817488221929472</v>
      </c>
      <c r="F2288" s="12"/>
      <c r="G2288" s="12"/>
      <c r="H2288" s="12"/>
      <c r="I2288" s="13">
        <v>1</v>
      </c>
      <c r="J2288" s="13">
        <v>1</v>
      </c>
      <c r="K2288" s="14" t="str">
        <f t="shared" ref="K2288:K2291" si="484">HYPERLINK("http://twitter.com/download/android","Twitter for Android")</f>
        <v>Twitter for Android</v>
      </c>
      <c r="L2288" s="13">
        <v>2634</v>
      </c>
      <c r="M2288" s="13">
        <v>4992</v>
      </c>
      <c r="N2288" s="13">
        <v>23</v>
      </c>
      <c r="O2288" s="15"/>
      <c r="P2288" s="6">
        <v>40630.875810185185</v>
      </c>
      <c r="Q2288" s="16" t="s">
        <v>496</v>
      </c>
      <c r="R2288" s="17" t="s">
        <v>7664</v>
      </c>
      <c r="S2288" s="12"/>
      <c r="T2288" s="12"/>
      <c r="U2288" s="10" t="str">
        <f>HYPERLINK("https://pbs.twimg.com/profile_images/1015475281803530241/aBROVKXy.jpg","View")</f>
        <v>View</v>
      </c>
    </row>
    <row r="2289" spans="1:21" ht="30.6">
      <c r="A2289" s="6">
        <v>43424.447048611109</v>
      </c>
      <c r="B2289" s="7" t="str">
        <f>HYPERLINK("https://twitter.com/andreu_hamfri","@andreu_hamfri")</f>
        <v>@andreu_hamfri</v>
      </c>
      <c r="C2289" s="8" t="s">
        <v>5730</v>
      </c>
      <c r="D2289" s="9" t="s">
        <v>5731</v>
      </c>
      <c r="E2289" s="10" t="str">
        <f>HYPERLINK("https://twitter.com/andreu_hamfri/status/1064816558512529408","1064816558512529408")</f>
        <v>1064816558512529408</v>
      </c>
      <c r="F2289" s="12"/>
      <c r="G2289" s="12"/>
      <c r="H2289" s="12"/>
      <c r="I2289" s="13">
        <v>0</v>
      </c>
      <c r="J2289" s="13">
        <v>5</v>
      </c>
      <c r="K2289" s="14" t="str">
        <f t="shared" si="484"/>
        <v>Twitter for Android</v>
      </c>
      <c r="L2289" s="13">
        <v>170</v>
      </c>
      <c r="M2289" s="13">
        <v>498</v>
      </c>
      <c r="N2289" s="13">
        <v>3</v>
      </c>
      <c r="O2289" s="15"/>
      <c r="P2289" s="6">
        <v>41095.493923611109</v>
      </c>
      <c r="Q2289" s="16" t="s">
        <v>5732</v>
      </c>
      <c r="R2289" s="19"/>
      <c r="S2289" s="12"/>
      <c r="T2289" s="12"/>
      <c r="U2289" s="10" t="str">
        <f>HYPERLINK("https://pbs.twimg.com/profile_images/2369450612/376818_488186954529477_1845369500_n.jpg","View")</f>
        <v>View</v>
      </c>
    </row>
    <row r="2290" spans="1:21" ht="51">
      <c r="A2290" s="6">
        <v>43424.446354166663</v>
      </c>
      <c r="B2290" s="7" t="str">
        <f>HYPERLINK("https://twitter.com/isladenaboombu","@isladenaboombu")</f>
        <v>@isladenaboombu</v>
      </c>
      <c r="C2290" s="8" t="s">
        <v>5734</v>
      </c>
      <c r="D2290" s="9" t="s">
        <v>5735</v>
      </c>
      <c r="E2290" s="10" t="str">
        <f>HYPERLINK("https://twitter.com/isladenaboombu/status/1064816305541443584","1064816305541443584")</f>
        <v>1064816305541443584</v>
      </c>
      <c r="F2290" s="12"/>
      <c r="G2290" s="12"/>
      <c r="H2290" s="12"/>
      <c r="I2290" s="13">
        <v>3</v>
      </c>
      <c r="J2290" s="13">
        <v>5</v>
      </c>
      <c r="K2290" s="14" t="str">
        <f t="shared" si="484"/>
        <v>Twitter for Android</v>
      </c>
      <c r="L2290" s="13">
        <v>40</v>
      </c>
      <c r="M2290" s="13">
        <v>45</v>
      </c>
      <c r="N2290" s="13">
        <v>7</v>
      </c>
      <c r="O2290" s="15"/>
      <c r="P2290" s="6">
        <v>40648.588402777779</v>
      </c>
      <c r="Q2290" s="12"/>
      <c r="R2290" s="17" t="s">
        <v>5738</v>
      </c>
      <c r="S2290" s="12"/>
      <c r="T2290" s="12"/>
      <c r="U2290" s="10" t="str">
        <f>HYPERLINK("https://pbs.twimg.com/profile_images/1040252189669773312/pJk-YNVL.jpg","View")</f>
        <v>View</v>
      </c>
    </row>
    <row r="2291" spans="1:21" ht="61.2">
      <c r="A2291" s="6">
        <v>43424.446099537032</v>
      </c>
      <c r="B2291" s="7" t="str">
        <f>HYPERLINK("https://twitter.com/oitaven","@oitaven")</f>
        <v>@oitaven</v>
      </c>
      <c r="C2291" s="8" t="s">
        <v>5741</v>
      </c>
      <c r="D2291" s="9" t="s">
        <v>5742</v>
      </c>
      <c r="E2291" s="10" t="str">
        <f>HYPERLINK("https://twitter.com/oitaven/status/1064816213967204353","1064816213967204353")</f>
        <v>1064816213967204353</v>
      </c>
      <c r="F2291" s="11" t="s">
        <v>5745</v>
      </c>
      <c r="G2291" s="12"/>
      <c r="H2291" s="12"/>
      <c r="I2291" s="13">
        <v>0</v>
      </c>
      <c r="J2291" s="13">
        <v>1</v>
      </c>
      <c r="K2291" s="14" t="str">
        <f t="shared" si="484"/>
        <v>Twitter for Android</v>
      </c>
      <c r="L2291" s="13">
        <v>372</v>
      </c>
      <c r="M2291" s="13">
        <v>1147</v>
      </c>
      <c r="N2291" s="13">
        <v>2</v>
      </c>
      <c r="O2291" s="15"/>
      <c r="P2291" s="6">
        <v>40342.016446759255</v>
      </c>
      <c r="Q2291" s="12"/>
      <c r="R2291" s="17" t="s">
        <v>5746</v>
      </c>
      <c r="S2291" s="12"/>
      <c r="T2291" s="12"/>
      <c r="U2291" s="10" t="str">
        <f>HYPERLINK("https://pbs.twimg.com/profile_images/916703450469142529/vlCd_u33.jpg","View")</f>
        <v>View</v>
      </c>
    </row>
    <row r="2292" spans="1:21" ht="20.399999999999999">
      <c r="A2292" s="6">
        <v>43424.443888888884</v>
      </c>
      <c r="B2292" s="7" t="str">
        <f>HYPERLINK("https://twitter.com/Eres1Mamarracha","@Eres1Mamarracha")</f>
        <v>@Eres1Mamarracha</v>
      </c>
      <c r="C2292" s="8" t="s">
        <v>7665</v>
      </c>
      <c r="D2292" s="9" t="s">
        <v>7486</v>
      </c>
      <c r="E2292" s="10" t="str">
        <f>HYPERLINK("https://twitter.com/Eres1Mamarracha/status/1064815412150525952","1064815412150525952")</f>
        <v>1064815412150525952</v>
      </c>
      <c r="F2292" s="11" t="s">
        <v>6856</v>
      </c>
      <c r="G2292" s="12"/>
      <c r="H2292" s="12"/>
      <c r="I2292" s="13">
        <v>0</v>
      </c>
      <c r="J2292" s="13">
        <v>0</v>
      </c>
      <c r="K2292" s="14" t="str">
        <f>HYPERLINK("http://twitter.com","Twitter Web Client")</f>
        <v>Twitter Web Client</v>
      </c>
      <c r="L2292" s="13">
        <v>401</v>
      </c>
      <c r="M2292" s="13">
        <v>465</v>
      </c>
      <c r="N2292" s="13">
        <v>9</v>
      </c>
      <c r="O2292" s="15"/>
      <c r="P2292" s="6">
        <v>40594.981145833335</v>
      </c>
      <c r="Q2292" s="16" t="s">
        <v>1786</v>
      </c>
      <c r="R2292" s="17" t="s">
        <v>7666</v>
      </c>
      <c r="S2292" s="11" t="s">
        <v>7667</v>
      </c>
      <c r="T2292" s="12"/>
      <c r="U2292" s="10" t="str">
        <f>HYPERLINK("https://pbs.twimg.com/profile_images/1057794989130964993/JkP4zCnw.jpg","View")</f>
        <v>View</v>
      </c>
    </row>
    <row r="2293" spans="1:21" ht="30.6">
      <c r="A2293" s="6">
        <v>43424.441157407404</v>
      </c>
      <c r="B2293" s="7" t="str">
        <f>HYPERLINK("https://twitter.com/ChisteRisitas","@ChisteRisitas")</f>
        <v>@ChisteRisitas</v>
      </c>
      <c r="C2293" s="8" t="s">
        <v>7668</v>
      </c>
      <c r="D2293" s="9" t="s">
        <v>7669</v>
      </c>
      <c r="E2293" s="10" t="str">
        <f>HYPERLINK("https://twitter.com/ChisteRisitas/status/1064814424467415043","1064814424467415043")</f>
        <v>1064814424467415043</v>
      </c>
      <c r="F2293" s="12"/>
      <c r="G2293" s="12"/>
      <c r="H2293" s="12"/>
      <c r="I2293" s="13">
        <v>0</v>
      </c>
      <c r="J2293" s="13">
        <v>0</v>
      </c>
      <c r="K2293" s="14" t="str">
        <f>HYPERLINK("http://twitter.com/download/iphone","Twitter for iPhone")</f>
        <v>Twitter for iPhone</v>
      </c>
      <c r="L2293" s="13">
        <v>76</v>
      </c>
      <c r="M2293" s="13">
        <v>289</v>
      </c>
      <c r="N2293" s="13">
        <v>0</v>
      </c>
      <c r="O2293" s="15"/>
      <c r="P2293" s="6">
        <v>42123.894120370373</v>
      </c>
      <c r="Q2293" s="12"/>
      <c r="R2293" s="19"/>
      <c r="S2293" s="12"/>
      <c r="T2293" s="12"/>
      <c r="U2293" s="10" t="str">
        <f>HYPERLINK("https://pbs.twimg.com/profile_images/593497013112692736/h0ozqKFR.jpg","View")</f>
        <v>View</v>
      </c>
    </row>
    <row r="2294" spans="1:21" ht="51">
      <c r="A2294" s="6">
        <v>43424.441018518519</v>
      </c>
      <c r="B2294" s="7" t="str">
        <f>HYPERLINK("https://twitter.com/migupelo2","@migupelo2")</f>
        <v>@migupelo2</v>
      </c>
      <c r="C2294" s="8" t="s">
        <v>29</v>
      </c>
      <c r="D2294" s="9" t="s">
        <v>5748</v>
      </c>
      <c r="E2294" s="10" t="str">
        <f>HYPERLINK("https://twitter.com/migupelo2/status/1064814374408388609","1064814374408388609")</f>
        <v>1064814374408388609</v>
      </c>
      <c r="F2294" s="11" t="s">
        <v>5749</v>
      </c>
      <c r="G2294" s="12"/>
      <c r="H2294" s="12"/>
      <c r="I2294" s="13">
        <v>0</v>
      </c>
      <c r="J2294" s="13">
        <v>0</v>
      </c>
      <c r="K2294" s="14" t="str">
        <f>HYPERLINK("http://twitter.com","Twitter Web Client")</f>
        <v>Twitter Web Client</v>
      </c>
      <c r="L2294" s="13">
        <v>264</v>
      </c>
      <c r="M2294" s="13">
        <v>760</v>
      </c>
      <c r="N2294" s="13">
        <v>18</v>
      </c>
      <c r="O2294" s="15"/>
      <c r="P2294" s="6">
        <v>40477.868043981478</v>
      </c>
      <c r="Q2294" s="12"/>
      <c r="R2294" s="17" t="s">
        <v>32</v>
      </c>
      <c r="S2294" s="12"/>
      <c r="T2294" s="12"/>
      <c r="U2294" s="10" t="str">
        <f>HYPERLINK("https://pbs.twimg.com/profile_images/2906316440/4ed1570f50fd6f70f1b28d458997dd81.jpeg","View")</f>
        <v>View</v>
      </c>
    </row>
    <row r="2295" spans="1:21" ht="51">
      <c r="A2295" s="6">
        <v>43424.439953703702</v>
      </c>
      <c r="B2295" s="7" t="str">
        <f>HYPERLINK("https://twitter.com/rgl1970","@rgl1970")</f>
        <v>@rgl1970</v>
      </c>
      <c r="C2295" s="8" t="s">
        <v>3401</v>
      </c>
      <c r="D2295" s="9" t="s">
        <v>5753</v>
      </c>
      <c r="E2295" s="10" t="str">
        <f>HYPERLINK("https://twitter.com/rgl1970/status/1064813985533517825","1064813985533517825")</f>
        <v>1064813985533517825</v>
      </c>
      <c r="F2295" s="12"/>
      <c r="G2295" s="11" t="s">
        <v>5755</v>
      </c>
      <c r="H2295" s="12"/>
      <c r="I2295" s="13">
        <v>338</v>
      </c>
      <c r="J2295" s="13">
        <v>547</v>
      </c>
      <c r="K2295" s="14" t="str">
        <f t="shared" ref="K2295:K2297" si="485">HYPERLINK("http://twitter.com/download/android","Twitter for Android")</f>
        <v>Twitter for Android</v>
      </c>
      <c r="L2295" s="13">
        <v>2402</v>
      </c>
      <c r="M2295" s="13">
        <v>2828</v>
      </c>
      <c r="N2295" s="13">
        <v>20</v>
      </c>
      <c r="O2295" s="15"/>
      <c r="P2295" s="6">
        <v>41801.661747685182</v>
      </c>
      <c r="Q2295" s="12"/>
      <c r="R2295" s="17" t="s">
        <v>3406</v>
      </c>
      <c r="S2295" s="12"/>
      <c r="T2295" s="12"/>
      <c r="U2295" s="10" t="str">
        <f>HYPERLINK("https://pbs.twimg.com/profile_images/1008752873096826880/ZxAKGMgA.jpg","View")</f>
        <v>View</v>
      </c>
    </row>
    <row r="2296" spans="1:21" ht="40.799999999999997">
      <c r="A2296" s="6">
        <v>43424.438946759255</v>
      </c>
      <c r="B2296" s="7" t="str">
        <f>HYPERLINK("https://twitter.com/txetxu1954","@txetxu1954")</f>
        <v>@txetxu1954</v>
      </c>
      <c r="C2296" s="8" t="s">
        <v>7670</v>
      </c>
      <c r="D2296" s="9" t="s">
        <v>7057</v>
      </c>
      <c r="E2296" s="10" t="str">
        <f>HYPERLINK("https://twitter.com/txetxu1954/status/1064813621543399424","1064813621543399424")</f>
        <v>1064813621543399424</v>
      </c>
      <c r="F2296" s="11" t="s">
        <v>7058</v>
      </c>
      <c r="G2296" s="12"/>
      <c r="H2296" s="12"/>
      <c r="I2296" s="13">
        <v>1</v>
      </c>
      <c r="J2296" s="13">
        <v>0</v>
      </c>
      <c r="K2296" s="14" t="str">
        <f t="shared" si="485"/>
        <v>Twitter for Android</v>
      </c>
      <c r="L2296" s="13">
        <v>1378</v>
      </c>
      <c r="M2296" s="13">
        <v>1445</v>
      </c>
      <c r="N2296" s="13">
        <v>73</v>
      </c>
      <c r="O2296" s="15"/>
      <c r="P2296" s="6">
        <v>40724.508414351854</v>
      </c>
      <c r="Q2296" s="16" t="s">
        <v>7671</v>
      </c>
      <c r="R2296" s="17" t="s">
        <v>7672</v>
      </c>
      <c r="S2296" s="11" t="s">
        <v>7673</v>
      </c>
      <c r="T2296" s="12"/>
      <c r="U2296" s="10" t="str">
        <f>HYPERLINK("https://pbs.twimg.com/profile_images/968258700917051392/ntPWzh8m.jpg","View")</f>
        <v>View</v>
      </c>
    </row>
    <row r="2297" spans="1:21" ht="51">
      <c r="A2297" s="6">
        <v>43424.43482638889</v>
      </c>
      <c r="B2297" s="7" t="str">
        <f>HYPERLINK("https://twitter.com/francesccrespi","@francesccrespi")</f>
        <v>@francesccrespi</v>
      </c>
      <c r="C2297" s="8" t="s">
        <v>7674</v>
      </c>
      <c r="D2297" s="9" t="s">
        <v>7675</v>
      </c>
      <c r="E2297" s="10" t="str">
        <f>HYPERLINK("https://twitter.com/francesccrespi/status/1064812128803176449","1064812128803176449")</f>
        <v>1064812128803176449</v>
      </c>
      <c r="F2297" s="12"/>
      <c r="G2297" s="12"/>
      <c r="H2297" s="12"/>
      <c r="I2297" s="13">
        <v>12</v>
      </c>
      <c r="J2297" s="13">
        <v>64</v>
      </c>
      <c r="K2297" s="14" t="str">
        <f t="shared" si="485"/>
        <v>Twitter for Android</v>
      </c>
      <c r="L2297" s="13">
        <v>409</v>
      </c>
      <c r="M2297" s="13">
        <v>268</v>
      </c>
      <c r="N2297" s="13">
        <v>2</v>
      </c>
      <c r="O2297" s="15"/>
      <c r="P2297" s="6">
        <v>41167.095902777779</v>
      </c>
      <c r="Q2297" s="16" t="s">
        <v>7676</v>
      </c>
      <c r="R2297" s="17" t="s">
        <v>7677</v>
      </c>
      <c r="S2297" s="12"/>
      <c r="T2297" s="12"/>
      <c r="U2297" s="10" t="str">
        <f>HYPERLINK("https://pbs.twimg.com/profile_images/1063676407446990854/Byzx2lEA.jpg","View")</f>
        <v>View</v>
      </c>
    </row>
    <row r="2298" spans="1:21" ht="20.399999999999999">
      <c r="A2298" s="6">
        <v>43424.43340277778</v>
      </c>
      <c r="B2298" s="7" t="str">
        <f>HYPERLINK("https://twitter.com/CristoFeliz1","@CristoFeliz1")</f>
        <v>@CristoFeliz1</v>
      </c>
      <c r="C2298" s="8" t="s">
        <v>7376</v>
      </c>
      <c r="D2298" s="9" t="s">
        <v>7678</v>
      </c>
      <c r="E2298" s="10" t="str">
        <f>HYPERLINK("https://twitter.com/CristoFeliz1/status/1064811614644297728","1064811614644297728")</f>
        <v>1064811614644297728</v>
      </c>
      <c r="F2298" s="11" t="s">
        <v>7679</v>
      </c>
      <c r="G2298" s="11" t="s">
        <v>7680</v>
      </c>
      <c r="H2298" s="12"/>
      <c r="I2298" s="13">
        <v>0</v>
      </c>
      <c r="J2298" s="13">
        <v>0</v>
      </c>
      <c r="K2298" s="14" t="str">
        <f>HYPERLINK("https://dlvrit.com/","dlvr.it")</f>
        <v>dlvr.it</v>
      </c>
      <c r="L2298" s="13">
        <v>7046</v>
      </c>
      <c r="M2298" s="13">
        <v>7743</v>
      </c>
      <c r="N2298" s="13">
        <v>561</v>
      </c>
      <c r="O2298" s="15"/>
      <c r="P2298" s="6">
        <v>41186.866469907407</v>
      </c>
      <c r="Q2298" s="16" t="s">
        <v>4264</v>
      </c>
      <c r="R2298" s="17" t="s">
        <v>7379</v>
      </c>
      <c r="S2298" s="12"/>
      <c r="T2298" s="12"/>
      <c r="U2298" s="10" t="str">
        <f>HYPERLINK("https://pbs.twimg.com/profile_images/1002564938911703040/1Wvxy6Jm.jpg","View")</f>
        <v>View</v>
      </c>
    </row>
    <row r="2299" spans="1:21" ht="61.2">
      <c r="A2299" s="6">
        <v>43424.433368055557</v>
      </c>
      <c r="B2299" s="7" t="str">
        <f>HYPERLINK("https://twitter.com/dotravez","@dotravez")</f>
        <v>@dotravez</v>
      </c>
      <c r="C2299" s="8" t="s">
        <v>3664</v>
      </c>
      <c r="D2299" s="9" t="s">
        <v>5762</v>
      </c>
      <c r="E2299" s="10" t="str">
        <f>HYPERLINK("https://twitter.com/dotravez/status/1064811602627739648","1064811602627739648")</f>
        <v>1064811602627739648</v>
      </c>
      <c r="F2299" s="12"/>
      <c r="G2299" s="12"/>
      <c r="H2299" s="12"/>
      <c r="I2299" s="13">
        <v>0</v>
      </c>
      <c r="J2299" s="13">
        <v>0</v>
      </c>
      <c r="K2299" s="14" t="str">
        <f>HYPERLINK("http://twitter.com/download/android","Twitter for Android")</f>
        <v>Twitter for Android</v>
      </c>
      <c r="L2299" s="13">
        <v>132</v>
      </c>
      <c r="M2299" s="13">
        <v>581</v>
      </c>
      <c r="N2299" s="13">
        <v>5</v>
      </c>
      <c r="O2299" s="15"/>
      <c r="P2299" s="6">
        <v>42240.424108796295</v>
      </c>
      <c r="Q2299" s="12"/>
      <c r="R2299" s="17" t="s">
        <v>3666</v>
      </c>
      <c r="S2299" s="12"/>
      <c r="T2299" s="12"/>
      <c r="U2299" s="10" t="str">
        <f>HYPERLINK("https://pbs.twimg.com/profile_images/635955194946306049/bBCYlZOi.jpg","View")</f>
        <v>View</v>
      </c>
    </row>
    <row r="2300" spans="1:21" ht="40.799999999999997">
      <c r="A2300" s="6">
        <v>43424.430798611109</v>
      </c>
      <c r="B2300" s="7" t="str">
        <f t="shared" ref="B2300:B2304" si="486">HYPERLINK("https://twitter.com/CiudadanosCs","@CiudadanosCs")</f>
        <v>@CiudadanosCs</v>
      </c>
      <c r="C2300" s="8" t="s">
        <v>196</v>
      </c>
      <c r="D2300" s="9" t="s">
        <v>5763</v>
      </c>
      <c r="E2300" s="10" t="str">
        <f>HYPERLINK("https://twitter.com/CiudadanosCs/status/1064810670229782530","1064810670229782530")</f>
        <v>1064810670229782530</v>
      </c>
      <c r="F2300" s="12"/>
      <c r="G2300" s="11" t="s">
        <v>5764</v>
      </c>
      <c r="H2300" s="12"/>
      <c r="I2300" s="13">
        <v>89</v>
      </c>
      <c r="J2300" s="13">
        <v>126</v>
      </c>
      <c r="K2300" s="14" t="str">
        <f t="shared" ref="K2300:K2304" si="487">HYPERLINK("https://studio.twitter.com","Media Studio")</f>
        <v>Media Studio</v>
      </c>
      <c r="L2300" s="13">
        <v>486503</v>
      </c>
      <c r="M2300" s="13">
        <v>93653</v>
      </c>
      <c r="N2300" s="13">
        <v>3318</v>
      </c>
      <c r="O2300" s="18" t="s">
        <v>36</v>
      </c>
      <c r="P2300" s="6">
        <v>39828.753460648149</v>
      </c>
      <c r="Q2300" s="16" t="s">
        <v>37</v>
      </c>
      <c r="R2300" s="17" t="s">
        <v>202</v>
      </c>
      <c r="S2300" s="11" t="s">
        <v>203</v>
      </c>
      <c r="T2300" s="12"/>
      <c r="U2300" s="10" t="str">
        <f t="shared" ref="U2300:U2304" si="488">HYPERLINK("https://pbs.twimg.com/profile_images/1053554096161075200/1z77_zBZ.jpg","View")</f>
        <v>View</v>
      </c>
    </row>
    <row r="2301" spans="1:21" ht="40.799999999999997">
      <c r="A2301" s="6">
        <v>43424.430208333331</v>
      </c>
      <c r="B2301" s="7" t="str">
        <f t="shared" si="486"/>
        <v>@CiudadanosCs</v>
      </c>
      <c r="C2301" s="8" t="s">
        <v>196</v>
      </c>
      <c r="D2301" s="9" t="s">
        <v>5769</v>
      </c>
      <c r="E2301" s="10" t="str">
        <f>HYPERLINK("https://twitter.com/CiudadanosCs/status/1064810455854735360","1064810455854735360")</f>
        <v>1064810455854735360</v>
      </c>
      <c r="F2301" s="12"/>
      <c r="G2301" s="11" t="s">
        <v>5770</v>
      </c>
      <c r="H2301" s="12"/>
      <c r="I2301" s="13">
        <v>130</v>
      </c>
      <c r="J2301" s="13">
        <v>208</v>
      </c>
      <c r="K2301" s="14" t="str">
        <f t="shared" si="487"/>
        <v>Media Studio</v>
      </c>
      <c r="L2301" s="13">
        <v>486503</v>
      </c>
      <c r="M2301" s="13">
        <v>93653</v>
      </c>
      <c r="N2301" s="13">
        <v>3318</v>
      </c>
      <c r="O2301" s="18" t="s">
        <v>36</v>
      </c>
      <c r="P2301" s="6">
        <v>39828.753460648149</v>
      </c>
      <c r="Q2301" s="16" t="s">
        <v>37</v>
      </c>
      <c r="R2301" s="17" t="s">
        <v>202</v>
      </c>
      <c r="S2301" s="11" t="s">
        <v>203</v>
      </c>
      <c r="T2301" s="12"/>
      <c r="U2301" s="10" t="str">
        <f t="shared" si="488"/>
        <v>View</v>
      </c>
    </row>
    <row r="2302" spans="1:21" ht="40.799999999999997">
      <c r="A2302" s="6">
        <v>43424.42969907407</v>
      </c>
      <c r="B2302" s="7" t="str">
        <f t="shared" si="486"/>
        <v>@CiudadanosCs</v>
      </c>
      <c r="C2302" s="8" t="s">
        <v>196</v>
      </c>
      <c r="D2302" s="9" t="s">
        <v>5773</v>
      </c>
      <c r="E2302" s="10" t="str">
        <f>HYPERLINK("https://twitter.com/CiudadanosCs/status/1064810269719871490","1064810269719871490")</f>
        <v>1064810269719871490</v>
      </c>
      <c r="F2302" s="12"/>
      <c r="G2302" s="11" t="s">
        <v>5774</v>
      </c>
      <c r="H2302" s="12"/>
      <c r="I2302" s="13">
        <v>87</v>
      </c>
      <c r="J2302" s="13">
        <v>115</v>
      </c>
      <c r="K2302" s="14" t="str">
        <f t="shared" si="487"/>
        <v>Media Studio</v>
      </c>
      <c r="L2302" s="13">
        <v>486503</v>
      </c>
      <c r="M2302" s="13">
        <v>93653</v>
      </c>
      <c r="N2302" s="13">
        <v>3318</v>
      </c>
      <c r="O2302" s="18" t="s">
        <v>36</v>
      </c>
      <c r="P2302" s="6">
        <v>39828.753460648149</v>
      </c>
      <c r="Q2302" s="16" t="s">
        <v>37</v>
      </c>
      <c r="R2302" s="17" t="s">
        <v>202</v>
      </c>
      <c r="S2302" s="11" t="s">
        <v>203</v>
      </c>
      <c r="T2302" s="12"/>
      <c r="U2302" s="10" t="str">
        <f t="shared" si="488"/>
        <v>View</v>
      </c>
    </row>
    <row r="2303" spans="1:21" ht="40.799999999999997">
      <c r="A2303" s="6">
        <v>43424.428877314815</v>
      </c>
      <c r="B2303" s="7" t="str">
        <f t="shared" si="486"/>
        <v>@CiudadanosCs</v>
      </c>
      <c r="C2303" s="8" t="s">
        <v>196</v>
      </c>
      <c r="D2303" s="9" t="s">
        <v>5775</v>
      </c>
      <c r="E2303" s="10" t="str">
        <f>HYPERLINK("https://twitter.com/CiudadanosCs/status/1064809971534184448","1064809971534184448")</f>
        <v>1064809971534184448</v>
      </c>
      <c r="F2303" s="12"/>
      <c r="G2303" s="11" t="s">
        <v>5776</v>
      </c>
      <c r="H2303" s="12"/>
      <c r="I2303" s="13">
        <v>45</v>
      </c>
      <c r="J2303" s="13">
        <v>59</v>
      </c>
      <c r="K2303" s="14" t="str">
        <f t="shared" si="487"/>
        <v>Media Studio</v>
      </c>
      <c r="L2303" s="13">
        <v>486503</v>
      </c>
      <c r="M2303" s="13">
        <v>93653</v>
      </c>
      <c r="N2303" s="13">
        <v>3318</v>
      </c>
      <c r="O2303" s="18" t="s">
        <v>36</v>
      </c>
      <c r="P2303" s="6">
        <v>39828.753460648149</v>
      </c>
      <c r="Q2303" s="16" t="s">
        <v>37</v>
      </c>
      <c r="R2303" s="17" t="s">
        <v>202</v>
      </c>
      <c r="S2303" s="11" t="s">
        <v>203</v>
      </c>
      <c r="T2303" s="12"/>
      <c r="U2303" s="10" t="str">
        <f t="shared" si="488"/>
        <v>View</v>
      </c>
    </row>
    <row r="2304" spans="1:21" ht="51">
      <c r="A2304" s="6">
        <v>43424.428090277783</v>
      </c>
      <c r="B2304" s="7" t="str">
        <f t="shared" si="486"/>
        <v>@CiudadanosCs</v>
      </c>
      <c r="C2304" s="8" t="s">
        <v>196</v>
      </c>
      <c r="D2304" s="9" t="s">
        <v>5777</v>
      </c>
      <c r="E2304" s="10" t="str">
        <f>HYPERLINK("https://twitter.com/CiudadanosCs/status/1064809686996828161","1064809686996828161")</f>
        <v>1064809686996828161</v>
      </c>
      <c r="F2304" s="12"/>
      <c r="G2304" s="11" t="s">
        <v>5778</v>
      </c>
      <c r="H2304" s="12"/>
      <c r="I2304" s="13">
        <v>66</v>
      </c>
      <c r="J2304" s="13">
        <v>87</v>
      </c>
      <c r="K2304" s="14" t="str">
        <f t="shared" si="487"/>
        <v>Media Studio</v>
      </c>
      <c r="L2304" s="13">
        <v>486503</v>
      </c>
      <c r="M2304" s="13">
        <v>93653</v>
      </c>
      <c r="N2304" s="13">
        <v>3318</v>
      </c>
      <c r="O2304" s="18" t="s">
        <v>36</v>
      </c>
      <c r="P2304" s="6">
        <v>39828.753460648149</v>
      </c>
      <c r="Q2304" s="16" t="s">
        <v>37</v>
      </c>
      <c r="R2304" s="17" t="s">
        <v>202</v>
      </c>
      <c r="S2304" s="11" t="s">
        <v>203</v>
      </c>
      <c r="T2304" s="12"/>
      <c r="U2304" s="10" t="str">
        <f t="shared" si="488"/>
        <v>View</v>
      </c>
    </row>
    <row r="2305" spans="1:21" ht="61.2">
      <c r="A2305" s="6">
        <v>43424.427604166667</v>
      </c>
      <c r="B2305" s="7" t="str">
        <f>HYPERLINK("https://twitter.com/davidvanesa4","@davidvanesa4")</f>
        <v>@davidvanesa4</v>
      </c>
      <c r="C2305" s="8" t="s">
        <v>2509</v>
      </c>
      <c r="D2305" s="9" t="s">
        <v>7681</v>
      </c>
      <c r="E2305" s="10" t="str">
        <f>HYPERLINK("https://twitter.com/davidvanesa4/status/1064809513776279552","1064809513776279552")</f>
        <v>1064809513776279552</v>
      </c>
      <c r="F2305" s="11" t="s">
        <v>7682</v>
      </c>
      <c r="G2305" s="12"/>
      <c r="H2305" s="12"/>
      <c r="I2305" s="13">
        <v>1</v>
      </c>
      <c r="J2305" s="13">
        <v>1</v>
      </c>
      <c r="K2305" s="14" t="str">
        <f>HYPERLINK("http://twitter.com/download/iphone","Twitter for iPhone")</f>
        <v>Twitter for iPhone</v>
      </c>
      <c r="L2305" s="13">
        <v>71</v>
      </c>
      <c r="M2305" s="13">
        <v>68</v>
      </c>
      <c r="N2305" s="13">
        <v>0</v>
      </c>
      <c r="O2305" s="15"/>
      <c r="P2305" s="6">
        <v>41972.823831018519</v>
      </c>
      <c r="Q2305" s="12"/>
      <c r="R2305" s="19"/>
      <c r="S2305" s="12"/>
      <c r="T2305" s="12"/>
      <c r="U2305" s="10" t="str">
        <f>HYPERLINK("https://pbs.twimg.com/profile_images/993840849971761152/JMCpRxqY.jpg","View")</f>
        <v>View</v>
      </c>
    </row>
    <row r="2306" spans="1:21" ht="40.799999999999997">
      <c r="A2306" s="6">
        <v>43424.427581018521</v>
      </c>
      <c r="B2306" s="7" t="str">
        <f>HYPERLINK("https://twitter.com/CiudadanosCs","@CiudadanosCs")</f>
        <v>@CiudadanosCs</v>
      </c>
      <c r="C2306" s="8" t="s">
        <v>196</v>
      </c>
      <c r="D2306" s="9" t="s">
        <v>5779</v>
      </c>
      <c r="E2306" s="10" t="str">
        <f>HYPERLINK("https://twitter.com/CiudadanosCs/status/1064809502933991424","1064809502933991424")</f>
        <v>1064809502933991424</v>
      </c>
      <c r="F2306" s="12"/>
      <c r="G2306" s="11" t="s">
        <v>5783</v>
      </c>
      <c r="H2306" s="12"/>
      <c r="I2306" s="13">
        <v>224</v>
      </c>
      <c r="J2306" s="13">
        <v>342</v>
      </c>
      <c r="K2306" s="14" t="str">
        <f>HYPERLINK("https://studio.twitter.com","Media Studio")</f>
        <v>Media Studio</v>
      </c>
      <c r="L2306" s="13">
        <v>486503</v>
      </c>
      <c r="M2306" s="13">
        <v>93653</v>
      </c>
      <c r="N2306" s="13">
        <v>3318</v>
      </c>
      <c r="O2306" s="18" t="s">
        <v>36</v>
      </c>
      <c r="P2306" s="6">
        <v>39828.753460648149</v>
      </c>
      <c r="Q2306" s="16" t="s">
        <v>37</v>
      </c>
      <c r="R2306" s="17" t="s">
        <v>202</v>
      </c>
      <c r="S2306" s="11" t="s">
        <v>203</v>
      </c>
      <c r="T2306" s="12"/>
      <c r="U2306" s="10" t="str">
        <f>HYPERLINK("https://pbs.twimg.com/profile_images/1053554096161075200/1z77_zBZ.jpg","View")</f>
        <v>View</v>
      </c>
    </row>
    <row r="2307" spans="1:21" ht="30.6">
      <c r="A2307" s="6">
        <v>43424.427118055552</v>
      </c>
      <c r="B2307" s="7" t="str">
        <f>HYPERLINK("https://twitter.com/jar_69","@jar_69")</f>
        <v>@jar_69</v>
      </c>
      <c r="C2307" s="8" t="s">
        <v>7683</v>
      </c>
      <c r="D2307" s="9" t="s">
        <v>7684</v>
      </c>
      <c r="E2307" s="10" t="str">
        <f>HYPERLINK("https://twitter.com/jar_69/status/1064809337498021889","1064809337498021889")</f>
        <v>1064809337498021889</v>
      </c>
      <c r="F2307" s="11" t="s">
        <v>7058</v>
      </c>
      <c r="G2307" s="12"/>
      <c r="H2307" s="12"/>
      <c r="I2307" s="13">
        <v>0</v>
      </c>
      <c r="J2307" s="13">
        <v>0</v>
      </c>
      <c r="K2307" s="14" t="str">
        <f>HYPERLINK("http://twitter.com","Twitter Web Client")</f>
        <v>Twitter Web Client</v>
      </c>
      <c r="L2307" s="13">
        <v>396</v>
      </c>
      <c r="M2307" s="13">
        <v>1102</v>
      </c>
      <c r="N2307" s="13">
        <v>9</v>
      </c>
      <c r="O2307" s="15"/>
      <c r="P2307" s="6">
        <v>40615.772523148145</v>
      </c>
      <c r="Q2307" s="16" t="s">
        <v>496</v>
      </c>
      <c r="R2307" s="17" t="s">
        <v>7685</v>
      </c>
      <c r="S2307" s="12"/>
      <c r="T2307" s="12"/>
      <c r="U2307" s="10" t="str">
        <f>HYPERLINK("https://pbs.twimg.com/profile_images/510105277715075072/Ty2Rbtt4.jpeg","View")</f>
        <v>View</v>
      </c>
    </row>
    <row r="2308" spans="1:21" ht="30.6">
      <c r="A2308" s="6">
        <v>43424.427071759259</v>
      </c>
      <c r="B2308" s="7" t="str">
        <f>HYPERLINK("https://twitter.com/ppanti","@ppanti")</f>
        <v>@ppanti</v>
      </c>
      <c r="C2308" s="8" t="s">
        <v>7686</v>
      </c>
      <c r="D2308" s="9" t="s">
        <v>7687</v>
      </c>
      <c r="E2308" s="10" t="str">
        <f>HYPERLINK("https://twitter.com/ppanti/status/1064809319273623552","1064809319273623552")</f>
        <v>1064809319273623552</v>
      </c>
      <c r="F2308" s="12"/>
      <c r="G2308" s="12"/>
      <c r="H2308" s="12"/>
      <c r="I2308" s="13">
        <v>0</v>
      </c>
      <c r="J2308" s="13">
        <v>1</v>
      </c>
      <c r="K2308" s="14" t="str">
        <f t="shared" ref="K2308:K2309" si="489">HYPERLINK("http://twitter.com/download/android","Twitter for Android")</f>
        <v>Twitter for Android</v>
      </c>
      <c r="L2308" s="13">
        <v>5698</v>
      </c>
      <c r="M2308" s="13">
        <v>513</v>
      </c>
      <c r="N2308" s="13">
        <v>126</v>
      </c>
      <c r="O2308" s="15"/>
      <c r="P2308" s="6">
        <v>40509.657280092593</v>
      </c>
      <c r="Q2308" s="12"/>
      <c r="R2308" s="17" t="s">
        <v>7688</v>
      </c>
      <c r="S2308" s="12"/>
      <c r="T2308" s="12"/>
      <c r="U2308" s="10" t="str">
        <f>HYPERLINK("https://pbs.twimg.com/profile_images/1038380915599319041/x5AGiArH.jpg","View")</f>
        <v>View</v>
      </c>
    </row>
    <row r="2309" spans="1:21" ht="51">
      <c r="A2309" s="6">
        <v>43424.426875000005</v>
      </c>
      <c r="B2309" s="7" t="str">
        <f>HYPERLINK("https://twitter.com/JmRR37262132","@JmRR37262132")</f>
        <v>@JmRR37262132</v>
      </c>
      <c r="C2309" s="8" t="s">
        <v>5785</v>
      </c>
      <c r="D2309" s="9" t="s">
        <v>5786</v>
      </c>
      <c r="E2309" s="10" t="str">
        <f>HYPERLINK("https://twitter.com/JmRR37262132/status/1064809246041227264","1064809246041227264")</f>
        <v>1064809246041227264</v>
      </c>
      <c r="F2309" s="16" t="s">
        <v>5787</v>
      </c>
      <c r="G2309" s="12"/>
      <c r="H2309" s="12"/>
      <c r="I2309" s="13">
        <v>0</v>
      </c>
      <c r="J2309" s="13">
        <v>0</v>
      </c>
      <c r="K2309" s="14" t="str">
        <f t="shared" si="489"/>
        <v>Twitter for Android</v>
      </c>
      <c r="L2309" s="13">
        <v>249</v>
      </c>
      <c r="M2309" s="13">
        <v>121</v>
      </c>
      <c r="N2309" s="13">
        <v>11</v>
      </c>
      <c r="O2309" s="15"/>
      <c r="P2309" s="6">
        <v>42552.503680555557</v>
      </c>
      <c r="Q2309" s="12"/>
      <c r="R2309" s="17" t="s">
        <v>5788</v>
      </c>
      <c r="S2309" s="12"/>
      <c r="T2309" s="12"/>
      <c r="U2309" s="10" t="str">
        <f>HYPERLINK("https://pbs.twimg.com/profile_images/1022828775338332161/nR4c8AhO.jpg","View")</f>
        <v>View</v>
      </c>
    </row>
    <row r="2310" spans="1:21" ht="40.799999999999997">
      <c r="A2310" s="6">
        <v>43424.426782407405</v>
      </c>
      <c r="B2310" s="7" t="str">
        <f>HYPERLINK("https://twitter.com/CiudadanosCs","@CiudadanosCs")</f>
        <v>@CiudadanosCs</v>
      </c>
      <c r="C2310" s="8" t="s">
        <v>196</v>
      </c>
      <c r="D2310" s="9" t="s">
        <v>5348</v>
      </c>
      <c r="E2310" s="10" t="str">
        <f>HYPERLINK("https://twitter.com/CiudadanosCs/status/1064809212344184833","1064809212344184833")</f>
        <v>1064809212344184833</v>
      </c>
      <c r="F2310" s="12"/>
      <c r="G2310" s="11" t="s">
        <v>5789</v>
      </c>
      <c r="H2310" s="12"/>
      <c r="I2310" s="13">
        <v>91</v>
      </c>
      <c r="J2310" s="13">
        <v>97</v>
      </c>
      <c r="K2310" s="14" t="str">
        <f>HYPERLINK("https://studio.twitter.com","Media Studio")</f>
        <v>Media Studio</v>
      </c>
      <c r="L2310" s="13">
        <v>486503</v>
      </c>
      <c r="M2310" s="13">
        <v>93653</v>
      </c>
      <c r="N2310" s="13">
        <v>3318</v>
      </c>
      <c r="O2310" s="18" t="s">
        <v>36</v>
      </c>
      <c r="P2310" s="6">
        <v>39828.753460648149</v>
      </c>
      <c r="Q2310" s="16" t="s">
        <v>37</v>
      </c>
      <c r="R2310" s="17" t="s">
        <v>202</v>
      </c>
      <c r="S2310" s="11" t="s">
        <v>203</v>
      </c>
      <c r="T2310" s="12"/>
      <c r="U2310" s="10" t="str">
        <f>HYPERLINK("https://pbs.twimg.com/profile_images/1053554096161075200/1z77_zBZ.jpg","View")</f>
        <v>View</v>
      </c>
    </row>
    <row r="2311" spans="1:21" ht="51">
      <c r="A2311" s="6">
        <v>43424.424270833333</v>
      </c>
      <c r="B2311" s="7" t="str">
        <f>HYPERLINK("https://twitter.com/Albert_Rivera","@Albert_Rivera")</f>
        <v>@Albert_Rivera</v>
      </c>
      <c r="C2311" s="8" t="s">
        <v>389</v>
      </c>
      <c r="D2311" s="9" t="s">
        <v>7689</v>
      </c>
      <c r="E2311" s="10" t="str">
        <f>HYPERLINK("https://twitter.com/Albert_Rivera/status/1064808303606276096","1064808303606276096")</f>
        <v>1064808303606276096</v>
      </c>
      <c r="F2311" s="11" t="s">
        <v>7690</v>
      </c>
      <c r="G2311" s="12"/>
      <c r="H2311" s="12"/>
      <c r="I2311" s="13">
        <v>233</v>
      </c>
      <c r="J2311" s="13">
        <v>933</v>
      </c>
      <c r="K2311" s="14" t="str">
        <f>HYPERLINK("http://twitter.com/download/iphone","Twitter for iPhone")</f>
        <v>Twitter for iPhone</v>
      </c>
      <c r="L2311" s="13">
        <v>1071530</v>
      </c>
      <c r="M2311" s="13">
        <v>2545</v>
      </c>
      <c r="N2311" s="13">
        <v>5104</v>
      </c>
      <c r="O2311" s="18" t="s">
        <v>36</v>
      </c>
      <c r="P2311" s="6">
        <v>40205.748171296298</v>
      </c>
      <c r="Q2311" s="16" t="s">
        <v>37</v>
      </c>
      <c r="R2311" s="17" t="s">
        <v>393</v>
      </c>
      <c r="S2311" s="11" t="s">
        <v>394</v>
      </c>
      <c r="T2311" s="12"/>
      <c r="U2311" s="10" t="str">
        <f>HYPERLINK("https://pbs.twimg.com/profile_images/1030708936779988993/RncDM4EZ.jpg","View")</f>
        <v>View</v>
      </c>
    </row>
    <row r="2312" spans="1:21" ht="30.6">
      <c r="A2312" s="6">
        <v>43424.423738425925</v>
      </c>
      <c r="B2312" s="7" t="str">
        <f>HYPERLINK("https://twitter.com/ElHuffPost","@ElHuffPost")</f>
        <v>@ElHuffPost</v>
      </c>
      <c r="C2312" s="8" t="s">
        <v>6203</v>
      </c>
      <c r="D2312" s="9" t="s">
        <v>7678</v>
      </c>
      <c r="E2312" s="10" t="str">
        <f>HYPERLINK("https://twitter.com/ElHuffPost/status/1064808109523329026","1064808109523329026")</f>
        <v>1064808109523329026</v>
      </c>
      <c r="F2312" s="11" t="s">
        <v>7691</v>
      </c>
      <c r="G2312" s="12"/>
      <c r="H2312" s="12"/>
      <c r="I2312" s="13">
        <v>0</v>
      </c>
      <c r="J2312" s="13">
        <v>1</v>
      </c>
      <c r="K2312" s="14" t="str">
        <f>HYPERLINK("https://about.twitter.com/products/tweetdeck","TweetDeck")</f>
        <v>TweetDeck</v>
      </c>
      <c r="L2312" s="13">
        <v>430324</v>
      </c>
      <c r="M2312" s="13">
        <v>1532</v>
      </c>
      <c r="N2312" s="13">
        <v>8188</v>
      </c>
      <c r="O2312" s="18" t="s">
        <v>36</v>
      </c>
      <c r="P2312" s="6">
        <v>40785.027118055557</v>
      </c>
      <c r="Q2312" s="16" t="s">
        <v>440</v>
      </c>
      <c r="R2312" s="17" t="s">
        <v>6205</v>
      </c>
      <c r="S2312" s="11" t="s">
        <v>6206</v>
      </c>
      <c r="T2312" s="12"/>
      <c r="U2312" s="10" t="str">
        <f>HYPERLINK("https://pbs.twimg.com/profile_images/921140803422089217/ETOEUOAx.jpg","View")</f>
        <v>View</v>
      </c>
    </row>
    <row r="2313" spans="1:21" ht="61.2">
      <c r="A2313" s="6">
        <v>43424.421655092592</v>
      </c>
      <c r="B2313" s="7" t="str">
        <f>HYPERLINK("https://twitter.com/pablobenaventeb","@pablobenaventeb")</f>
        <v>@pablobenaventeb</v>
      </c>
      <c r="C2313" s="8" t="s">
        <v>5790</v>
      </c>
      <c r="D2313" s="9" t="s">
        <v>5791</v>
      </c>
      <c r="E2313" s="10" t="str">
        <f>HYPERLINK("https://twitter.com/pablobenaventeb/status/1064807354821214208","1064807354821214208")</f>
        <v>1064807354821214208</v>
      </c>
      <c r="F2313" s="12"/>
      <c r="G2313" s="12"/>
      <c r="H2313" s="12"/>
      <c r="I2313" s="13">
        <v>0</v>
      </c>
      <c r="J2313" s="13">
        <v>1</v>
      </c>
      <c r="K2313" s="14" t="str">
        <f>HYPERLINK("http://twitter.com","Twitter Web Client")</f>
        <v>Twitter Web Client</v>
      </c>
      <c r="L2313" s="13">
        <v>275</v>
      </c>
      <c r="M2313" s="13">
        <v>1321</v>
      </c>
      <c r="N2313" s="13">
        <v>5</v>
      </c>
      <c r="O2313" s="15"/>
      <c r="P2313" s="6">
        <v>40363.633402777778</v>
      </c>
      <c r="Q2313" s="12"/>
      <c r="R2313" s="17" t="s">
        <v>5792</v>
      </c>
      <c r="S2313" s="12"/>
      <c r="T2313" s="12"/>
      <c r="U2313" s="10" t="str">
        <f>HYPERLINK("https://pbs.twimg.com/profile_images/1181890924/81500002.jpg","View")</f>
        <v>View</v>
      </c>
    </row>
    <row r="2314" spans="1:21" ht="20.399999999999999">
      <c r="A2314" s="6">
        <v>43424.421388888892</v>
      </c>
      <c r="B2314" s="7" t="str">
        <f>HYPERLINK("https://twitter.com/amorindepe","@amorindepe")</f>
        <v>@amorindepe</v>
      </c>
      <c r="C2314" s="8" t="s">
        <v>5793</v>
      </c>
      <c r="D2314" s="9" t="s">
        <v>5794</v>
      </c>
      <c r="E2314" s="10" t="str">
        <f>HYPERLINK("https://twitter.com/amorindepe/status/1064807259144941568","1064807259144941568")</f>
        <v>1064807259144941568</v>
      </c>
      <c r="F2314" s="11" t="s">
        <v>5795</v>
      </c>
      <c r="G2314" s="12"/>
      <c r="H2314" s="12"/>
      <c r="I2314" s="13">
        <v>0</v>
      </c>
      <c r="J2314" s="13">
        <v>0</v>
      </c>
      <c r="K2314" s="14" t="str">
        <f>HYPERLINK("http://www.loveisintheair.org","LoveSongs")</f>
        <v>LoveSongs</v>
      </c>
      <c r="L2314" s="13">
        <v>4</v>
      </c>
      <c r="M2314" s="13">
        <v>0</v>
      </c>
      <c r="N2314" s="13">
        <v>0</v>
      </c>
      <c r="O2314" s="15"/>
      <c r="P2314" s="6">
        <v>43017.064756944441</v>
      </c>
      <c r="Q2314" s="12"/>
      <c r="R2314" s="19"/>
      <c r="S2314" s="12"/>
      <c r="T2314" s="12"/>
      <c r="U2314" s="10" t="str">
        <f>HYPERLINK("https://pbs.twimg.com/profile_images/917175245374742529/UdutrHy-.jpg","View")</f>
        <v>View</v>
      </c>
    </row>
    <row r="2315" spans="1:21" ht="40.799999999999997">
      <c r="A2315" s="6">
        <v>43424.420648148152</v>
      </c>
      <c r="B2315" s="7" t="str">
        <f>HYPERLINK("https://twitter.com/laury_rod","@laury_rod")</f>
        <v>@laury_rod</v>
      </c>
      <c r="C2315" s="8" t="s">
        <v>7692</v>
      </c>
      <c r="D2315" s="9" t="s">
        <v>7693</v>
      </c>
      <c r="E2315" s="10" t="str">
        <f>HYPERLINK("https://twitter.com/laury_rod/status/1064806989652525056","1064806989652525056")</f>
        <v>1064806989652525056</v>
      </c>
      <c r="F2315" s="11" t="s">
        <v>7058</v>
      </c>
      <c r="G2315" s="12"/>
      <c r="H2315" s="12"/>
      <c r="I2315" s="13">
        <v>0</v>
      </c>
      <c r="J2315" s="13">
        <v>0</v>
      </c>
      <c r="K2315" s="14" t="str">
        <f>HYPERLINK("http://twitter.com","Twitter Web Client")</f>
        <v>Twitter Web Client</v>
      </c>
      <c r="L2315" s="13">
        <v>2284</v>
      </c>
      <c r="M2315" s="13">
        <v>2356</v>
      </c>
      <c r="N2315" s="13">
        <v>23</v>
      </c>
      <c r="O2315" s="15"/>
      <c r="P2315" s="6">
        <v>41414.614699074074</v>
      </c>
      <c r="Q2315" s="16" t="s">
        <v>7694</v>
      </c>
      <c r="R2315" s="17" t="s">
        <v>7695</v>
      </c>
      <c r="S2315" s="11" t="s">
        <v>7696</v>
      </c>
      <c r="T2315" s="12"/>
      <c r="U2315" s="10" t="str">
        <f>HYPERLINK("https://pbs.twimg.com/profile_images/515101375521243136/ilI9BBCU.png","View")</f>
        <v>View</v>
      </c>
    </row>
    <row r="2316" spans="1:21" ht="40.799999999999997">
      <c r="A2316" s="6">
        <v>43424.418287037042</v>
      </c>
      <c r="B2316" s="7" t="str">
        <f>HYPERLINK("https://twitter.com/eltrombus","@eltrombus")</f>
        <v>@eltrombus</v>
      </c>
      <c r="C2316" s="8" t="s">
        <v>7697</v>
      </c>
      <c r="D2316" s="9" t="s">
        <v>7698</v>
      </c>
      <c r="E2316" s="10" t="str">
        <f>HYPERLINK("https://twitter.com/eltrombus/status/1064806134102597632","1064806134102597632")</f>
        <v>1064806134102597632</v>
      </c>
      <c r="F2316" s="12"/>
      <c r="G2316" s="12"/>
      <c r="H2316" s="12"/>
      <c r="I2316" s="13">
        <v>0</v>
      </c>
      <c r="J2316" s="13">
        <v>1</v>
      </c>
      <c r="K2316" s="14" t="str">
        <f>HYPERLINK("http://twitter.com/download/iphone","Twitter for iPhone")</f>
        <v>Twitter for iPhone</v>
      </c>
      <c r="L2316" s="13">
        <v>5</v>
      </c>
      <c r="M2316" s="13">
        <v>0</v>
      </c>
      <c r="N2316" s="13">
        <v>0</v>
      </c>
      <c r="O2316" s="15"/>
      <c r="P2316" s="6">
        <v>42403.528101851851</v>
      </c>
      <c r="Q2316" s="12"/>
      <c r="R2316" s="19"/>
      <c r="S2316" s="12"/>
      <c r="T2316" s="12"/>
      <c r="U2316" s="18" t="s">
        <v>559</v>
      </c>
    </row>
    <row r="2317" spans="1:21" ht="51">
      <c r="A2317" s="6">
        <v>43424.417962962965</v>
      </c>
      <c r="B2317" s="7" t="str">
        <f>HYPERLINK("https://twitter.com/Luisvallejo66","@Luisvallejo66")</f>
        <v>@Luisvallejo66</v>
      </c>
      <c r="C2317" s="8" t="s">
        <v>5797</v>
      </c>
      <c r="D2317" s="9" t="s">
        <v>5798</v>
      </c>
      <c r="E2317" s="10" t="str">
        <f>HYPERLINK("https://twitter.com/Luisvallejo66/status/1064806019967127552","1064806019967127552")</f>
        <v>1064806019967127552</v>
      </c>
      <c r="F2317" s="12"/>
      <c r="G2317" s="12"/>
      <c r="H2317" s="12"/>
      <c r="I2317" s="13">
        <v>0</v>
      </c>
      <c r="J2317" s="13">
        <v>0</v>
      </c>
      <c r="K2317" s="14" t="str">
        <f t="shared" ref="K2317:K2319" si="490">HYPERLINK("http://twitter.com/download/android","Twitter for Android")</f>
        <v>Twitter for Android</v>
      </c>
      <c r="L2317" s="13">
        <v>628</v>
      </c>
      <c r="M2317" s="13">
        <v>1965</v>
      </c>
      <c r="N2317" s="13">
        <v>7</v>
      </c>
      <c r="O2317" s="15"/>
      <c r="P2317" s="6">
        <v>40713.94703703704</v>
      </c>
      <c r="Q2317" s="16" t="s">
        <v>440</v>
      </c>
      <c r="R2317" s="17" t="s">
        <v>5797</v>
      </c>
      <c r="S2317" s="12"/>
      <c r="T2317" s="12"/>
      <c r="U2317" s="10" t="str">
        <f>HYPERLINK("https://pbs.twimg.com/profile_images/810121839443906561/PCPpQH5p.jpg","View")</f>
        <v>View</v>
      </c>
    </row>
    <row r="2318" spans="1:21" ht="30.6">
      <c r="A2318" s="6">
        <v>43424.416261574079</v>
      </c>
      <c r="B2318" s="7" t="str">
        <f>HYPERLINK("https://twitter.com/josito135","@josito135")</f>
        <v>@josito135</v>
      </c>
      <c r="C2318" s="8" t="s">
        <v>5799</v>
      </c>
      <c r="D2318" s="9" t="s">
        <v>5800</v>
      </c>
      <c r="E2318" s="10" t="str">
        <f>HYPERLINK("https://twitter.com/josito135/status/1064805400866897920","1064805400866897920")</f>
        <v>1064805400866897920</v>
      </c>
      <c r="F2318" s="12"/>
      <c r="G2318" s="12"/>
      <c r="H2318" s="12"/>
      <c r="I2318" s="13">
        <v>0</v>
      </c>
      <c r="J2318" s="13">
        <v>0</v>
      </c>
      <c r="K2318" s="14" t="str">
        <f t="shared" si="490"/>
        <v>Twitter for Android</v>
      </c>
      <c r="L2318" s="13">
        <v>3227</v>
      </c>
      <c r="M2318" s="13">
        <v>3273</v>
      </c>
      <c r="N2318" s="13">
        <v>20</v>
      </c>
      <c r="O2318" s="15"/>
      <c r="P2318" s="6">
        <v>41020.571400462963</v>
      </c>
      <c r="Q2318" s="16" t="s">
        <v>5801</v>
      </c>
      <c r="R2318" s="17" t="s">
        <v>5802</v>
      </c>
      <c r="S2318" s="12"/>
      <c r="T2318" s="12"/>
      <c r="U2318" s="10" t="str">
        <f>HYPERLINK("https://pbs.twimg.com/profile_images/744908550376427520/3yCDPWr7.jpg","View")</f>
        <v>View</v>
      </c>
    </row>
    <row r="2319" spans="1:21" ht="13.2">
      <c r="A2319" s="6">
        <v>43424.416226851856</v>
      </c>
      <c r="B2319" s="7" t="str">
        <f>HYPERLINK("https://twitter.com/juancartxo","@juancartxo")</f>
        <v>@juancartxo</v>
      </c>
      <c r="C2319" s="8" t="s">
        <v>5803</v>
      </c>
      <c r="D2319" s="9" t="s">
        <v>5804</v>
      </c>
      <c r="E2319" s="10" t="str">
        <f>HYPERLINK("https://twitter.com/juancartxo/status/1064805390800642050","1064805390800642050")</f>
        <v>1064805390800642050</v>
      </c>
      <c r="F2319" s="12"/>
      <c r="G2319" s="12"/>
      <c r="H2319" s="12"/>
      <c r="I2319" s="13">
        <v>0</v>
      </c>
      <c r="J2319" s="13">
        <v>0</v>
      </c>
      <c r="K2319" s="14" t="str">
        <f t="shared" si="490"/>
        <v>Twitter for Android</v>
      </c>
      <c r="L2319" s="13">
        <v>126</v>
      </c>
      <c r="M2319" s="13">
        <v>443</v>
      </c>
      <c r="N2319" s="13">
        <v>0</v>
      </c>
      <c r="O2319" s="15"/>
      <c r="P2319" s="6">
        <v>40568.929074074076</v>
      </c>
      <c r="Q2319" s="16" t="s">
        <v>5805</v>
      </c>
      <c r="R2319" s="19"/>
      <c r="S2319" s="12"/>
      <c r="T2319" s="12"/>
      <c r="U2319" s="10" t="str">
        <f>HYPERLINK("https://pbs.twimg.com/profile_images/989948255038558211/PkJXJHgg.jpg","View")</f>
        <v>View</v>
      </c>
    </row>
    <row r="2320" spans="1:21" ht="30.6">
      <c r="A2320" s="6">
        <v>43424.415995370371</v>
      </c>
      <c r="B2320" s="7" t="str">
        <f>HYPERLINK("https://twitter.com/nomPraesta","@nomPraesta")</f>
        <v>@nomPraesta</v>
      </c>
      <c r="C2320" s="8" t="s">
        <v>7699</v>
      </c>
      <c r="D2320" s="9" t="s">
        <v>7700</v>
      </c>
      <c r="E2320" s="10" t="str">
        <f>HYPERLINK("https://twitter.com/nomPraesta/status/1064805304041377793","1064805304041377793")</f>
        <v>1064805304041377793</v>
      </c>
      <c r="F2320" s="12"/>
      <c r="G2320" s="12"/>
      <c r="H2320" s="12"/>
      <c r="I2320" s="13">
        <v>0</v>
      </c>
      <c r="J2320" s="13">
        <v>1</v>
      </c>
      <c r="K2320" s="14" t="str">
        <f>HYPERLINK("http://twitter.com/download/iphone","Twitter for iPhone")</f>
        <v>Twitter for iPhone</v>
      </c>
      <c r="L2320" s="13">
        <v>3141</v>
      </c>
      <c r="M2320" s="13">
        <v>1093</v>
      </c>
      <c r="N2320" s="13">
        <v>23</v>
      </c>
      <c r="O2320" s="15"/>
      <c r="P2320" s="6">
        <v>40689.71943287037</v>
      </c>
      <c r="Q2320" s="16" t="s">
        <v>7701</v>
      </c>
      <c r="R2320" s="17" t="s">
        <v>7702</v>
      </c>
      <c r="S2320" s="11" t="s">
        <v>7703</v>
      </c>
      <c r="T2320" s="12"/>
      <c r="U2320" s="10" t="str">
        <f>HYPERLINK("https://pbs.twimg.com/profile_images/994634145388212226/dUOq48hO.jpg","View")</f>
        <v>View</v>
      </c>
    </row>
    <row r="2321" spans="1:21" ht="30.6">
      <c r="A2321" s="6">
        <v>43424.413587962961</v>
      </c>
      <c r="B2321" s="7" t="str">
        <f>HYPERLINK("https://twitter.com/stelladuplex","@stelladuplex")</f>
        <v>@stelladuplex</v>
      </c>
      <c r="C2321" s="8" t="s">
        <v>7704</v>
      </c>
      <c r="D2321" s="9" t="s">
        <v>7705</v>
      </c>
      <c r="E2321" s="10" t="str">
        <f>HYPERLINK("https://twitter.com/stelladuplex/status/1064804433643663361","1064804433643663361")</f>
        <v>1064804433643663361</v>
      </c>
      <c r="F2321" s="12"/>
      <c r="G2321" s="11" t="s">
        <v>7706</v>
      </c>
      <c r="H2321" s="12"/>
      <c r="I2321" s="13">
        <v>0</v>
      </c>
      <c r="J2321" s="13">
        <v>0</v>
      </c>
      <c r="K2321" s="14" t="str">
        <f>HYPERLINK("http://twitter.com/download/android","Twitter for Android")</f>
        <v>Twitter for Android</v>
      </c>
      <c r="L2321" s="13">
        <v>53</v>
      </c>
      <c r="M2321" s="13">
        <v>88</v>
      </c>
      <c r="N2321" s="13">
        <v>2</v>
      </c>
      <c r="O2321" s="15"/>
      <c r="P2321" s="6">
        <v>42313.790833333333</v>
      </c>
      <c r="Q2321" s="16" t="s">
        <v>37</v>
      </c>
      <c r="R2321" s="17" t="s">
        <v>7707</v>
      </c>
      <c r="S2321" s="12"/>
      <c r="T2321" s="12"/>
      <c r="U2321" s="10" t="str">
        <f>HYPERLINK("https://pbs.twimg.com/profile_images/1037833476425347073/t4c8wYkC.jpg","View")</f>
        <v>View</v>
      </c>
    </row>
    <row r="2322" spans="1:21" ht="40.799999999999997">
      <c r="A2322" s="6">
        <v>43424.413310185184</v>
      </c>
      <c r="B2322" s="7" t="str">
        <f>HYPERLINK("https://twitter.com/antilopez","@antilopez")</f>
        <v>@antilopez</v>
      </c>
      <c r="C2322" s="8" t="s">
        <v>7708</v>
      </c>
      <c r="D2322" s="9" t="s">
        <v>7709</v>
      </c>
      <c r="E2322" s="10" t="str">
        <f>HYPERLINK("https://twitter.com/antilopez/status/1064804330446995456","1064804330446995456")</f>
        <v>1064804330446995456</v>
      </c>
      <c r="F2322" s="12"/>
      <c r="G2322" s="12"/>
      <c r="H2322" s="12"/>
      <c r="I2322" s="13">
        <v>36</v>
      </c>
      <c r="J2322" s="13">
        <v>130</v>
      </c>
      <c r="K2322" s="14" t="str">
        <f>HYPERLINK("https://about.twitter.com/products/tweetdeck","TweetDeck")</f>
        <v>TweetDeck</v>
      </c>
      <c r="L2322" s="13">
        <v>19681</v>
      </c>
      <c r="M2322" s="13">
        <v>956</v>
      </c>
      <c r="N2322" s="13">
        <v>126</v>
      </c>
      <c r="O2322" s="18" t="s">
        <v>36</v>
      </c>
      <c r="P2322" s="6">
        <v>39997.006331018521</v>
      </c>
      <c r="Q2322" s="16" t="s">
        <v>7710</v>
      </c>
      <c r="R2322" s="17" t="s">
        <v>7711</v>
      </c>
      <c r="S2322" s="11" t="s">
        <v>7712</v>
      </c>
      <c r="T2322" s="12"/>
      <c r="U2322" s="10" t="str">
        <f>HYPERLINK("https://pbs.twimg.com/profile_images/1034028684209020929/rX8rvq33.jpg","View")</f>
        <v>View</v>
      </c>
    </row>
    <row r="2323" spans="1:21" ht="40.799999999999997">
      <c r="A2323" s="6">
        <v>43424.411793981482</v>
      </c>
      <c r="B2323" s="7" t="str">
        <f>HYPERLINK("https://twitter.com/amyworldalive","@amyworldalive")</f>
        <v>@amyworldalive</v>
      </c>
      <c r="C2323" s="8" t="s">
        <v>5806</v>
      </c>
      <c r="D2323" s="9" t="s">
        <v>5807</v>
      </c>
      <c r="E2323" s="10" t="str">
        <f>HYPERLINK("https://twitter.com/amyworldalive/status/1064803781928460288","1064803781928460288")</f>
        <v>1064803781928460288</v>
      </c>
      <c r="F2323" s="12"/>
      <c r="G2323" s="12"/>
      <c r="H2323" s="12"/>
      <c r="I2323" s="13">
        <v>0</v>
      </c>
      <c r="J2323" s="13">
        <v>1</v>
      </c>
      <c r="K2323" s="14" t="str">
        <f>HYPERLINK("http://twitter.com/download/iphone","Twitter for iPhone")</f>
        <v>Twitter for iPhone</v>
      </c>
      <c r="L2323" s="13">
        <v>1227</v>
      </c>
      <c r="M2323" s="13">
        <v>2502</v>
      </c>
      <c r="N2323" s="13">
        <v>30</v>
      </c>
      <c r="O2323" s="15"/>
      <c r="P2323" s="6">
        <v>40627.611412037033</v>
      </c>
      <c r="Q2323" s="16" t="s">
        <v>1923</v>
      </c>
      <c r="R2323" s="17" t="s">
        <v>5809</v>
      </c>
      <c r="S2323" s="12"/>
      <c r="T2323" s="12"/>
      <c r="U2323" s="10" t="str">
        <f>HYPERLINK("https://pbs.twimg.com/profile_images/1053241190307561472/Aqn_GeN-.jpg","View")</f>
        <v>View</v>
      </c>
    </row>
    <row r="2324" spans="1:21" ht="51">
      <c r="A2324" s="6">
        <v>43424.411736111113</v>
      </c>
      <c r="B2324" s="7" t="str">
        <f>HYPERLINK("https://twitter.com/UnaGrandeLibre5","@UnaGrandeLibre5")</f>
        <v>@UnaGrandeLibre5</v>
      </c>
      <c r="C2324" s="8" t="s">
        <v>5810</v>
      </c>
      <c r="D2324" s="9" t="s">
        <v>5811</v>
      </c>
      <c r="E2324" s="10" t="str">
        <f>HYPERLINK("https://twitter.com/UnaGrandeLibre5/status/1064803759434407936","1064803759434407936")</f>
        <v>1064803759434407936</v>
      </c>
      <c r="F2324" s="12"/>
      <c r="G2324" s="11" t="s">
        <v>5814</v>
      </c>
      <c r="H2324" s="12"/>
      <c r="I2324" s="13">
        <v>1</v>
      </c>
      <c r="J2324" s="13">
        <v>1</v>
      </c>
      <c r="K2324" s="14" t="str">
        <f>HYPERLINK("http://twitter.com","Twitter Web Client")</f>
        <v>Twitter Web Client</v>
      </c>
      <c r="L2324" s="13">
        <v>4</v>
      </c>
      <c r="M2324" s="13">
        <v>14</v>
      </c>
      <c r="N2324" s="13">
        <v>0</v>
      </c>
      <c r="O2324" s="15"/>
      <c r="P2324" s="6">
        <v>43405.01427083333</v>
      </c>
      <c r="Q2324" s="12"/>
      <c r="R2324" s="19"/>
      <c r="S2324" s="12"/>
      <c r="T2324" s="12"/>
      <c r="U2324" s="10" t="str">
        <f>HYPERLINK("https://pbs.twimg.com/profile_images/1057775639095402496/8EjvOBu3.jpg","View")</f>
        <v>View</v>
      </c>
    </row>
    <row r="2325" spans="1:21" ht="20.399999999999999">
      <c r="A2325" s="6">
        <v>43424.411446759259</v>
      </c>
      <c r="B2325" s="7" t="str">
        <f>HYPERLINK("https://twitter.com/LebriGamer","@LebriGamer")</f>
        <v>@LebriGamer</v>
      </c>
      <c r="C2325" s="8" t="s">
        <v>7713</v>
      </c>
      <c r="D2325" s="9" t="s">
        <v>7714</v>
      </c>
      <c r="E2325" s="10" t="str">
        <f>HYPERLINK("https://twitter.com/LebriGamer/status/1064803654711025664","1064803654711025664")</f>
        <v>1064803654711025664</v>
      </c>
      <c r="F2325" s="12"/>
      <c r="G2325" s="12"/>
      <c r="H2325" s="12"/>
      <c r="I2325" s="13">
        <v>0</v>
      </c>
      <c r="J2325" s="13">
        <v>0</v>
      </c>
      <c r="K2325" s="14" t="str">
        <f t="shared" ref="K2325:K2326" si="491">HYPERLINK("http://twitter.com/download/android","Twitter for Android")</f>
        <v>Twitter for Android</v>
      </c>
      <c r="L2325" s="13">
        <v>34</v>
      </c>
      <c r="M2325" s="13">
        <v>48</v>
      </c>
      <c r="N2325" s="13">
        <v>0</v>
      </c>
      <c r="O2325" s="15"/>
      <c r="P2325" s="6">
        <v>42983.763842592598</v>
      </c>
      <c r="Q2325" s="12"/>
      <c r="R2325" s="19"/>
      <c r="S2325" s="12"/>
      <c r="T2325" s="12"/>
      <c r="U2325" s="10" t="str">
        <f>HYPERLINK("https://pbs.twimg.com/profile_images/1041005311178559489/sWCU79Qv.jpg","View")</f>
        <v>View</v>
      </c>
    </row>
    <row r="2326" spans="1:21" ht="51">
      <c r="A2326" s="6">
        <v>43424.411319444444</v>
      </c>
      <c r="B2326" s="7" t="str">
        <f>HYPERLINK("https://twitter.com/DamienMulon","@DamienMulon")</f>
        <v>@DamienMulon</v>
      </c>
      <c r="C2326" s="8" t="s">
        <v>5819</v>
      </c>
      <c r="D2326" s="9" t="s">
        <v>5820</v>
      </c>
      <c r="E2326" s="10" t="str">
        <f>HYPERLINK("https://twitter.com/DamienMulon/status/1064803610196918272","1064803610196918272")</f>
        <v>1064803610196918272</v>
      </c>
      <c r="F2326" s="12"/>
      <c r="G2326" s="12"/>
      <c r="H2326" s="12"/>
      <c r="I2326" s="13">
        <v>1</v>
      </c>
      <c r="J2326" s="13">
        <v>5</v>
      </c>
      <c r="K2326" s="14" t="str">
        <f t="shared" si="491"/>
        <v>Twitter for Android</v>
      </c>
      <c r="L2326" s="13">
        <v>64</v>
      </c>
      <c r="M2326" s="13">
        <v>147</v>
      </c>
      <c r="N2326" s="13">
        <v>2</v>
      </c>
      <c r="O2326" s="15"/>
      <c r="P2326" s="6">
        <v>42189.894050925926</v>
      </c>
      <c r="Q2326" s="16" t="s">
        <v>118</v>
      </c>
      <c r="R2326" s="17" t="s">
        <v>5822</v>
      </c>
      <c r="S2326" s="12"/>
      <c r="T2326" s="12"/>
      <c r="U2326" s="10" t="str">
        <f>HYPERLINK("https://pbs.twimg.com/profile_images/1018860686380814336/I5dJrEBq.jpg","View")</f>
        <v>View</v>
      </c>
    </row>
    <row r="2327" spans="1:21" ht="30.6">
      <c r="A2327" s="6">
        <v>43424.411122685182</v>
      </c>
      <c r="B2327" s="7" t="str">
        <f>HYPERLINK("https://twitter.com/laluchapa","@laluchapa")</f>
        <v>@laluchapa</v>
      </c>
      <c r="C2327" s="8" t="s">
        <v>7715</v>
      </c>
      <c r="D2327" s="9" t="s">
        <v>7603</v>
      </c>
      <c r="E2327" s="10" t="str">
        <f>HYPERLINK("https://twitter.com/laluchapa/status/1064803540500135936","1064803540500135936")</f>
        <v>1064803540500135936</v>
      </c>
      <c r="F2327" s="11" t="s">
        <v>7511</v>
      </c>
      <c r="G2327" s="12"/>
      <c r="H2327" s="12"/>
      <c r="I2327" s="13">
        <v>0</v>
      </c>
      <c r="J2327" s="13">
        <v>1</v>
      </c>
      <c r="K2327" s="14" t="str">
        <f t="shared" ref="K2327:K2328" si="492">HYPERLINK("http://twitter.com","Twitter Web Client")</f>
        <v>Twitter Web Client</v>
      </c>
      <c r="L2327" s="13">
        <v>3427</v>
      </c>
      <c r="M2327" s="13">
        <v>3426</v>
      </c>
      <c r="N2327" s="13">
        <v>23</v>
      </c>
      <c r="O2327" s="15"/>
      <c r="P2327" s="6">
        <v>40680.757268518515</v>
      </c>
      <c r="Q2327" s="16" t="s">
        <v>37</v>
      </c>
      <c r="R2327" s="17" t="s">
        <v>7716</v>
      </c>
      <c r="S2327" s="12"/>
      <c r="T2327" s="12"/>
      <c r="U2327" s="10" t="str">
        <f>HYPERLINK("https://pbs.twimg.com/profile_images/668846620843356160/WaK1YjED.jpg","View")</f>
        <v>View</v>
      </c>
    </row>
    <row r="2328" spans="1:21" ht="51">
      <c r="A2328" s="6">
        <v>43424.409421296295</v>
      </c>
      <c r="B2328" s="7" t="str">
        <f>HYPERLINK("https://twitter.com/quinfernandezz","@quinfernandezz")</f>
        <v>@quinfernandezz</v>
      </c>
      <c r="C2328" s="8" t="s">
        <v>7717</v>
      </c>
      <c r="D2328" s="9" t="s">
        <v>7718</v>
      </c>
      <c r="E2328" s="10" t="str">
        <f>HYPERLINK("https://twitter.com/quinfernandezz/status/1064802923505479680","1064802923505479680")</f>
        <v>1064802923505479680</v>
      </c>
      <c r="F2328" s="12"/>
      <c r="G2328" s="12"/>
      <c r="H2328" s="12"/>
      <c r="I2328" s="13">
        <v>0</v>
      </c>
      <c r="J2328" s="13">
        <v>1</v>
      </c>
      <c r="K2328" s="14" t="str">
        <f t="shared" si="492"/>
        <v>Twitter Web Client</v>
      </c>
      <c r="L2328" s="13">
        <v>1271</v>
      </c>
      <c r="M2328" s="13">
        <v>1000</v>
      </c>
      <c r="N2328" s="13">
        <v>50</v>
      </c>
      <c r="O2328" s="15"/>
      <c r="P2328" s="6">
        <v>40717.647824074076</v>
      </c>
      <c r="Q2328" s="16" t="s">
        <v>7719</v>
      </c>
      <c r="R2328" s="17" t="s">
        <v>7720</v>
      </c>
      <c r="S2328" s="12"/>
      <c r="T2328" s="12"/>
      <c r="U2328" s="10" t="str">
        <f>HYPERLINK("https://pbs.twimg.com/profile_images/972223918160400385/Dxs5Jtwh.jpg","View")</f>
        <v>View</v>
      </c>
    </row>
    <row r="2329" spans="1:21" ht="51">
      <c r="A2329" s="6">
        <v>43424.409351851849</v>
      </c>
      <c r="B2329" s="7" t="str">
        <f>HYPERLINK("https://twitter.com/nidoan","@nidoan")</f>
        <v>@nidoan</v>
      </c>
      <c r="C2329" s="8" t="s">
        <v>5824</v>
      </c>
      <c r="D2329" s="9" t="s">
        <v>5825</v>
      </c>
      <c r="E2329" s="10" t="str">
        <f>HYPERLINK("https://twitter.com/nidoan/status/1064802898314448896","1064802898314448896")</f>
        <v>1064802898314448896</v>
      </c>
      <c r="F2329" s="12"/>
      <c r="G2329" s="12"/>
      <c r="H2329" s="12"/>
      <c r="I2329" s="13">
        <v>1</v>
      </c>
      <c r="J2329" s="13">
        <v>1</v>
      </c>
      <c r="K2329" s="14" t="str">
        <f>HYPERLINK("http://twitter.com/download/iphone","Twitter for iPhone")</f>
        <v>Twitter for iPhone</v>
      </c>
      <c r="L2329" s="13">
        <v>348</v>
      </c>
      <c r="M2329" s="13">
        <v>743</v>
      </c>
      <c r="N2329" s="13">
        <v>5</v>
      </c>
      <c r="O2329" s="15"/>
      <c r="P2329" s="6">
        <v>40036.79241898148</v>
      </c>
      <c r="Q2329" s="16" t="s">
        <v>5826</v>
      </c>
      <c r="R2329" s="17" t="s">
        <v>5827</v>
      </c>
      <c r="S2329" s="12"/>
      <c r="T2329" s="12"/>
      <c r="U2329" s="10" t="str">
        <f>HYPERLINK("https://pbs.twimg.com/profile_images/977686123156836353/HjK89Tpm.jpg","View")</f>
        <v>View</v>
      </c>
    </row>
    <row r="2330" spans="1:21" ht="51">
      <c r="A2330" s="6">
        <v>43424.408680555556</v>
      </c>
      <c r="B2330" s="7" t="str">
        <f>HYPERLINK("https://twitter.com/JubeirC","@JubeirC")</f>
        <v>@JubeirC</v>
      </c>
      <c r="C2330" s="8" t="s">
        <v>4578</v>
      </c>
      <c r="D2330" s="9" t="s">
        <v>5829</v>
      </c>
      <c r="E2330" s="10" t="str">
        <f>HYPERLINK("https://twitter.com/JubeirC/status/1064802653723602944","1064802653723602944")</f>
        <v>1064802653723602944</v>
      </c>
      <c r="F2330" s="12"/>
      <c r="G2330" s="12"/>
      <c r="H2330" s="12"/>
      <c r="I2330" s="13">
        <v>0</v>
      </c>
      <c r="J2330" s="13">
        <v>1</v>
      </c>
      <c r="K2330" s="14" t="str">
        <f t="shared" ref="K2330:K2331" si="493">HYPERLINK("http://twitter.com/download/android","Twitter for Android")</f>
        <v>Twitter for Android</v>
      </c>
      <c r="L2330" s="13">
        <v>70</v>
      </c>
      <c r="M2330" s="13">
        <v>182</v>
      </c>
      <c r="N2330" s="13">
        <v>0</v>
      </c>
      <c r="O2330" s="15"/>
      <c r="P2330" s="6">
        <v>43418.45893518519</v>
      </c>
      <c r="Q2330" s="16" t="s">
        <v>118</v>
      </c>
      <c r="R2330" s="17" t="s">
        <v>4583</v>
      </c>
      <c r="S2330" s="12"/>
      <c r="T2330" s="12"/>
      <c r="U2330" s="10" t="str">
        <f>HYPERLINK("https://pbs.twimg.com/profile_images/1062652018391769088/3bCwwZzq.jpg","View")</f>
        <v>View</v>
      </c>
    </row>
    <row r="2331" spans="1:21" ht="30.6">
      <c r="A2331" s="6">
        <v>43424.408263888894</v>
      </c>
      <c r="B2331" s="7" t="str">
        <f>HYPERLINK("https://twitter.com/Juuliiaan14","@Juuliiaan14")</f>
        <v>@Juuliiaan14</v>
      </c>
      <c r="C2331" s="8" t="s">
        <v>7721</v>
      </c>
      <c r="D2331" s="9" t="s">
        <v>7722</v>
      </c>
      <c r="E2331" s="10" t="str">
        <f>HYPERLINK("https://twitter.com/Juuliiaan14/status/1064802504351858689","1064802504351858689")</f>
        <v>1064802504351858689</v>
      </c>
      <c r="F2331" s="12"/>
      <c r="G2331" s="12"/>
      <c r="H2331" s="12"/>
      <c r="I2331" s="13">
        <v>0</v>
      </c>
      <c r="J2331" s="13">
        <v>0</v>
      </c>
      <c r="K2331" s="14" t="str">
        <f t="shared" si="493"/>
        <v>Twitter for Android</v>
      </c>
      <c r="L2331" s="13">
        <v>266</v>
      </c>
      <c r="M2331" s="13">
        <v>384</v>
      </c>
      <c r="N2331" s="13">
        <v>2</v>
      </c>
      <c r="O2331" s="15"/>
      <c r="P2331" s="6">
        <v>40360.822025462963</v>
      </c>
      <c r="Q2331" s="16" t="s">
        <v>7723</v>
      </c>
      <c r="R2331" s="17" t="s">
        <v>7724</v>
      </c>
      <c r="S2331" s="11" t="s">
        <v>7725</v>
      </c>
      <c r="T2331" s="12"/>
      <c r="U2331" s="10" t="str">
        <f>HYPERLINK("https://pbs.twimg.com/profile_images/1017134920496570368/pBmfKAAG.jpg","View")</f>
        <v>View</v>
      </c>
    </row>
    <row r="2332" spans="1:21" ht="71.400000000000006">
      <c r="A2332" s="6">
        <v>43424.407407407409</v>
      </c>
      <c r="B2332" s="7" t="str">
        <f>HYPERLINK("https://twitter.com/VeganoLeon","@VeganoLeon")</f>
        <v>@VeganoLeon</v>
      </c>
      <c r="C2332" s="8" t="s">
        <v>7726</v>
      </c>
      <c r="D2332" s="9" t="s">
        <v>7727</v>
      </c>
      <c r="E2332" s="10" t="str">
        <f>HYPERLINK("https://twitter.com/VeganoLeon/status/1064802193533005824","1064802193533005824")</f>
        <v>1064802193533005824</v>
      </c>
      <c r="F2332" s="11" t="s">
        <v>7728</v>
      </c>
      <c r="G2332" s="12"/>
      <c r="H2332" s="12"/>
      <c r="I2332" s="13">
        <v>0</v>
      </c>
      <c r="J2332" s="13">
        <v>0</v>
      </c>
      <c r="K2332" s="14" t="str">
        <f>HYPERLINK("http://twitter.com/download/iphone","Twitter for iPhone")</f>
        <v>Twitter for iPhone</v>
      </c>
      <c r="L2332" s="13">
        <v>105</v>
      </c>
      <c r="M2332" s="13">
        <v>283</v>
      </c>
      <c r="N2332" s="13">
        <v>1</v>
      </c>
      <c r="O2332" s="15"/>
      <c r="P2332" s="6">
        <v>43314.961481481485</v>
      </c>
      <c r="Q2332" s="16" t="s">
        <v>6212</v>
      </c>
      <c r="R2332" s="17" t="s">
        <v>7729</v>
      </c>
      <c r="S2332" s="12"/>
      <c r="T2332" s="12"/>
      <c r="U2332" s="10" t="str">
        <f>HYPERLINK("https://pbs.twimg.com/profile_images/1025128638050643968/aFw9R_tE.jpg","View")</f>
        <v>View</v>
      </c>
    </row>
    <row r="2333" spans="1:21" ht="30.6">
      <c r="A2333" s="6">
        <v>43424.407106481478</v>
      </c>
      <c r="B2333" s="7" t="str">
        <f>HYPERLINK("https://twitter.com/rosamariaartal","@rosamariaartal")</f>
        <v>@rosamariaartal</v>
      </c>
      <c r="C2333" s="8" t="s">
        <v>4686</v>
      </c>
      <c r="D2333" s="9" t="s">
        <v>7730</v>
      </c>
      <c r="E2333" s="10" t="str">
        <f>HYPERLINK("https://twitter.com/rosamariaartal/status/1064802082056781826","1064802082056781826")</f>
        <v>1064802082056781826</v>
      </c>
      <c r="F2333" s="12"/>
      <c r="G2333" s="11" t="s">
        <v>7731</v>
      </c>
      <c r="H2333" s="12"/>
      <c r="I2333" s="13">
        <v>5</v>
      </c>
      <c r="J2333" s="13">
        <v>10</v>
      </c>
      <c r="K2333" s="14" t="str">
        <f>HYPERLINK("http://twitter.com","Twitter Web Client")</f>
        <v>Twitter Web Client</v>
      </c>
      <c r="L2333" s="13">
        <v>103731</v>
      </c>
      <c r="M2333" s="13">
        <v>3006</v>
      </c>
      <c r="N2333" s="13">
        <v>2702</v>
      </c>
      <c r="O2333" s="15"/>
      <c r="P2333" s="6">
        <v>40094.819687499999</v>
      </c>
      <c r="Q2333" s="16" t="s">
        <v>440</v>
      </c>
      <c r="R2333" s="17" t="s">
        <v>4692</v>
      </c>
      <c r="S2333" s="11" t="s">
        <v>4693</v>
      </c>
      <c r="T2333" s="12"/>
      <c r="U2333" s="10" t="str">
        <f>HYPERLINK("https://pbs.twimg.com/profile_images/780888265238974464/fOR4WuD5.jpg","View")</f>
        <v>View</v>
      </c>
    </row>
    <row r="2334" spans="1:21" ht="40.799999999999997">
      <c r="A2334" s="6">
        <v>43424.406331018516</v>
      </c>
      <c r="B2334" s="7" t="str">
        <f>HYPERLINK("https://twitter.com/Tristan_MeyerH","@Tristan_MeyerH")</f>
        <v>@Tristan_MeyerH</v>
      </c>
      <c r="C2334" s="8" t="s">
        <v>7732</v>
      </c>
      <c r="D2334" s="9" t="s">
        <v>7733</v>
      </c>
      <c r="E2334" s="10" t="str">
        <f>HYPERLINK("https://twitter.com/Tristan_MeyerH/status/1064801803324264448","1064801803324264448")</f>
        <v>1064801803324264448</v>
      </c>
      <c r="F2334" s="12"/>
      <c r="G2334" s="12"/>
      <c r="H2334" s="12"/>
      <c r="I2334" s="13">
        <v>0</v>
      </c>
      <c r="J2334" s="13">
        <v>4</v>
      </c>
      <c r="K2334" s="14" t="str">
        <f>HYPERLINK("http://twitter.com/download/android","Twitter for Android")</f>
        <v>Twitter for Android</v>
      </c>
      <c r="L2334" s="13">
        <v>2689</v>
      </c>
      <c r="M2334" s="13">
        <v>1003</v>
      </c>
      <c r="N2334" s="13">
        <v>42</v>
      </c>
      <c r="O2334" s="15"/>
      <c r="P2334" s="6">
        <v>41110.691516203704</v>
      </c>
      <c r="Q2334" s="16" t="s">
        <v>496</v>
      </c>
      <c r="R2334" s="17" t="s">
        <v>7734</v>
      </c>
      <c r="S2334" s="11" t="s">
        <v>7735</v>
      </c>
      <c r="T2334" s="12"/>
      <c r="U2334" s="10" t="str">
        <f>HYPERLINK("https://pbs.twimg.com/profile_images/1034703041193226240/ryqsCYfI.jpg","View")</f>
        <v>View</v>
      </c>
    </row>
    <row r="2335" spans="1:21" ht="30.6">
      <c r="A2335" s="6">
        <v>43424.406087962961</v>
      </c>
      <c r="B2335" s="7" t="str">
        <f>HYPERLINK("https://twitter.com/lizaldez","@lizaldez")</f>
        <v>@lizaldez</v>
      </c>
      <c r="C2335" s="8" t="s">
        <v>7736</v>
      </c>
      <c r="D2335" s="9" t="s">
        <v>7737</v>
      </c>
      <c r="E2335" s="10" t="str">
        <f>HYPERLINK("https://twitter.com/lizaldez/status/1064801715063582722","1064801715063582722")</f>
        <v>1064801715063582722</v>
      </c>
      <c r="F2335" s="12"/>
      <c r="G2335" s="12"/>
      <c r="H2335" s="12"/>
      <c r="I2335" s="13">
        <v>0</v>
      </c>
      <c r="J2335" s="13">
        <v>2</v>
      </c>
      <c r="K2335" s="14" t="str">
        <f t="shared" ref="K2335:K2336" si="494">HYPERLINK("http://twitter.com","Twitter Web Client")</f>
        <v>Twitter Web Client</v>
      </c>
      <c r="L2335" s="13">
        <v>767</v>
      </c>
      <c r="M2335" s="13">
        <v>432</v>
      </c>
      <c r="N2335" s="13">
        <v>27</v>
      </c>
      <c r="O2335" s="15"/>
      <c r="P2335" s="6">
        <v>41253.870856481481</v>
      </c>
      <c r="Q2335" s="16" t="s">
        <v>7738</v>
      </c>
      <c r="R2335" s="17" t="s">
        <v>7739</v>
      </c>
      <c r="S2335" s="12"/>
      <c r="T2335" s="12"/>
      <c r="U2335" s="10" t="str">
        <f>HYPERLINK("https://pbs.twimg.com/profile_images/1050118475249782784/OdBB7SDO.jpg","View")</f>
        <v>View</v>
      </c>
    </row>
    <row r="2336" spans="1:21" ht="40.799999999999997">
      <c r="A2336" s="6">
        <v>43424.406076388885</v>
      </c>
      <c r="B2336" s="7" t="str">
        <f>HYPERLINK("https://twitter.com/rosamariaartal","@rosamariaartal")</f>
        <v>@rosamariaartal</v>
      </c>
      <c r="C2336" s="8" t="s">
        <v>4686</v>
      </c>
      <c r="D2336" s="9" t="s">
        <v>7740</v>
      </c>
      <c r="E2336" s="10" t="str">
        <f>HYPERLINK("https://twitter.com/rosamariaartal/status/1064801712018464773","1064801712018464773")</f>
        <v>1064801712018464773</v>
      </c>
      <c r="F2336" s="12"/>
      <c r="G2336" s="11" t="s">
        <v>7741</v>
      </c>
      <c r="H2336" s="12"/>
      <c r="I2336" s="13">
        <v>13</v>
      </c>
      <c r="J2336" s="13">
        <v>9</v>
      </c>
      <c r="K2336" s="14" t="str">
        <f t="shared" si="494"/>
        <v>Twitter Web Client</v>
      </c>
      <c r="L2336" s="13">
        <v>103731</v>
      </c>
      <c r="M2336" s="13">
        <v>3006</v>
      </c>
      <c r="N2336" s="13">
        <v>2702</v>
      </c>
      <c r="O2336" s="15"/>
      <c r="P2336" s="6">
        <v>40094.819687499999</v>
      </c>
      <c r="Q2336" s="16" t="s">
        <v>440</v>
      </c>
      <c r="R2336" s="17" t="s">
        <v>4692</v>
      </c>
      <c r="S2336" s="11" t="s">
        <v>4693</v>
      </c>
      <c r="T2336" s="12"/>
      <c r="U2336" s="10" t="str">
        <f>HYPERLINK("https://pbs.twimg.com/profile_images/780888265238974464/fOR4WuD5.jpg","View")</f>
        <v>View</v>
      </c>
    </row>
    <row r="2337" spans="1:21" ht="20.399999999999999">
      <c r="A2337" s="6">
        <v>43424.404432870375</v>
      </c>
      <c r="B2337" s="7" t="str">
        <f>HYPERLINK("https://twitter.com/Hablaocalla__","@Hablaocalla__")</f>
        <v>@Hablaocalla__</v>
      </c>
      <c r="C2337" s="8" t="s">
        <v>7742</v>
      </c>
      <c r="D2337" s="9" t="s">
        <v>7743</v>
      </c>
      <c r="E2337" s="10" t="str">
        <f>HYPERLINK("https://twitter.com/Hablaocalla__/status/1064801115475247104","1064801115475247104")</f>
        <v>1064801115475247104</v>
      </c>
      <c r="F2337" s="12"/>
      <c r="G2337" s="12"/>
      <c r="H2337" s="12"/>
      <c r="I2337" s="13">
        <v>0</v>
      </c>
      <c r="J2337" s="13">
        <v>0</v>
      </c>
      <c r="K2337" s="14" t="str">
        <f>HYPERLINK("http://twitter.com/download/android","Twitter for Android")</f>
        <v>Twitter for Android</v>
      </c>
      <c r="L2337" s="13">
        <v>1217</v>
      </c>
      <c r="M2337" s="13">
        <v>471</v>
      </c>
      <c r="N2337" s="13">
        <v>16</v>
      </c>
      <c r="O2337" s="15"/>
      <c r="P2337" s="6">
        <v>40853.854444444441</v>
      </c>
      <c r="Q2337" s="12"/>
      <c r="R2337" s="17" t="s">
        <v>7744</v>
      </c>
      <c r="S2337" s="11" t="s">
        <v>7745</v>
      </c>
      <c r="T2337" s="12"/>
      <c r="U2337" s="10" t="str">
        <f>HYPERLINK("https://pbs.twimg.com/profile_images/1057253940230844418/DwiE5V3n.jpg","View")</f>
        <v>View</v>
      </c>
    </row>
    <row r="2338" spans="1:21" ht="30.6">
      <c r="A2338" s="6">
        <v>43424.403935185182</v>
      </c>
      <c r="B2338" s="7" t="str">
        <f t="shared" ref="B2338:B2339" si="495">HYPERLINK("https://twitter.com/EspejoPublico","@EspejoPublico")</f>
        <v>@EspejoPublico</v>
      </c>
      <c r="C2338" s="8" t="s">
        <v>5834</v>
      </c>
      <c r="D2338" s="9" t="s">
        <v>5835</v>
      </c>
      <c r="E2338" s="10" t="str">
        <f>HYPERLINK("https://twitter.com/EspejoPublico/status/1064800935422107649","1064800935422107649")</f>
        <v>1064800935422107649</v>
      </c>
      <c r="F2338" s="11" t="s">
        <v>5837</v>
      </c>
      <c r="G2338" s="11" t="s">
        <v>5838</v>
      </c>
      <c r="H2338" s="12"/>
      <c r="I2338" s="13">
        <v>5</v>
      </c>
      <c r="J2338" s="13">
        <v>16</v>
      </c>
      <c r="K2338" s="14" t="str">
        <f t="shared" ref="K2338:K2339" si="496">HYPERLINK("http://twitter.com","Twitter Web Client")</f>
        <v>Twitter Web Client</v>
      </c>
      <c r="L2338" s="13">
        <v>265617</v>
      </c>
      <c r="M2338" s="13">
        <v>3614</v>
      </c>
      <c r="N2338" s="13">
        <v>1270</v>
      </c>
      <c r="O2338" s="18" t="s">
        <v>36</v>
      </c>
      <c r="P2338" s="6">
        <v>40051.800717592589</v>
      </c>
      <c r="Q2338" s="16" t="s">
        <v>5839</v>
      </c>
      <c r="R2338" s="17" t="s">
        <v>5840</v>
      </c>
      <c r="S2338" s="11" t="s">
        <v>5841</v>
      </c>
      <c r="T2338" s="12"/>
      <c r="U2338" s="10" t="str">
        <f t="shared" ref="U2338:U2339" si="497">HYPERLINK("https://pbs.twimg.com/profile_images/903630837866000384/yctjIpk1.jpg","View")</f>
        <v>View</v>
      </c>
    </row>
    <row r="2339" spans="1:21" ht="30.6">
      <c r="A2339" s="6">
        <v>43424.402986111112</v>
      </c>
      <c r="B2339" s="7" t="str">
        <f t="shared" si="495"/>
        <v>@EspejoPublico</v>
      </c>
      <c r="C2339" s="8" t="s">
        <v>5834</v>
      </c>
      <c r="D2339" s="9" t="s">
        <v>5842</v>
      </c>
      <c r="E2339" s="10" t="str">
        <f>HYPERLINK("https://twitter.com/EspejoPublico/status/1064800589694021638","1064800589694021638")</f>
        <v>1064800589694021638</v>
      </c>
      <c r="F2339" s="11" t="s">
        <v>5837</v>
      </c>
      <c r="G2339" s="11" t="s">
        <v>5843</v>
      </c>
      <c r="H2339" s="12"/>
      <c r="I2339" s="13">
        <v>6</v>
      </c>
      <c r="J2339" s="13">
        <v>16</v>
      </c>
      <c r="K2339" s="14" t="str">
        <f t="shared" si="496"/>
        <v>Twitter Web Client</v>
      </c>
      <c r="L2339" s="13">
        <v>265617</v>
      </c>
      <c r="M2339" s="13">
        <v>3614</v>
      </c>
      <c r="N2339" s="13">
        <v>1270</v>
      </c>
      <c r="O2339" s="18" t="s">
        <v>36</v>
      </c>
      <c r="P2339" s="6">
        <v>40051.800717592589</v>
      </c>
      <c r="Q2339" s="16" t="s">
        <v>5839</v>
      </c>
      <c r="R2339" s="17" t="s">
        <v>5840</v>
      </c>
      <c r="S2339" s="11" t="s">
        <v>5841</v>
      </c>
      <c r="T2339" s="12"/>
      <c r="U2339" s="10" t="str">
        <f t="shared" si="497"/>
        <v>View</v>
      </c>
    </row>
    <row r="2340" spans="1:21" ht="61.2">
      <c r="A2340" s="6">
        <v>43424.401377314818</v>
      </c>
      <c r="B2340" s="7" t="str">
        <f>HYPERLINK("https://twitter.com/zeliyo","@zeliyo")</f>
        <v>@zeliyo</v>
      </c>
      <c r="C2340" s="8" t="s">
        <v>7746</v>
      </c>
      <c r="D2340" s="9" t="s">
        <v>7747</v>
      </c>
      <c r="E2340" s="10" t="str">
        <f>HYPERLINK("https://twitter.com/zeliyo/status/1064800007289823232","1064800007289823232")</f>
        <v>1064800007289823232</v>
      </c>
      <c r="F2340" s="12"/>
      <c r="G2340" s="12"/>
      <c r="H2340" s="12"/>
      <c r="I2340" s="13">
        <v>0</v>
      </c>
      <c r="J2340" s="13">
        <v>0</v>
      </c>
      <c r="K2340" s="14" t="str">
        <f t="shared" ref="K2340:K2343" si="498">HYPERLINK("http://twitter.com/download/android","Twitter for Android")</f>
        <v>Twitter for Android</v>
      </c>
      <c r="L2340" s="13">
        <v>2172</v>
      </c>
      <c r="M2340" s="13">
        <v>2345</v>
      </c>
      <c r="N2340" s="13">
        <v>23</v>
      </c>
      <c r="O2340" s="15"/>
      <c r="P2340" s="6">
        <v>40788.669976851852</v>
      </c>
      <c r="Q2340" s="16" t="s">
        <v>7748</v>
      </c>
      <c r="R2340" s="17" t="s">
        <v>7749</v>
      </c>
      <c r="S2340" s="11" t="s">
        <v>7750</v>
      </c>
      <c r="T2340" s="12"/>
      <c r="U2340" s="10" t="str">
        <f>HYPERLINK("https://pbs.twimg.com/profile_images/946698010402148352/bweRq6TS.jpg","View")</f>
        <v>View</v>
      </c>
    </row>
    <row r="2341" spans="1:21" ht="30.6">
      <c r="A2341" s="6">
        <v>43424.40016203704</v>
      </c>
      <c r="B2341" s="7" t="str">
        <f>HYPERLINK("https://twitter.com/DeMeison","@DeMeison")</f>
        <v>@DeMeison</v>
      </c>
      <c r="C2341" s="8" t="s">
        <v>4984</v>
      </c>
      <c r="D2341" s="9" t="s">
        <v>7751</v>
      </c>
      <c r="E2341" s="10" t="str">
        <f>HYPERLINK("https://twitter.com/DeMeison/status/1064799567168843776","1064799567168843776")</f>
        <v>1064799567168843776</v>
      </c>
      <c r="F2341" s="12"/>
      <c r="G2341" s="11" t="s">
        <v>7752</v>
      </c>
      <c r="H2341" s="12"/>
      <c r="I2341" s="13">
        <v>2</v>
      </c>
      <c r="J2341" s="13">
        <v>4</v>
      </c>
      <c r="K2341" s="14" t="str">
        <f t="shared" si="498"/>
        <v>Twitter for Android</v>
      </c>
      <c r="L2341" s="13">
        <v>1567</v>
      </c>
      <c r="M2341" s="13">
        <v>1236</v>
      </c>
      <c r="N2341" s="13">
        <v>24</v>
      </c>
      <c r="O2341" s="15"/>
      <c r="P2341" s="6">
        <v>40711.818657407406</v>
      </c>
      <c r="Q2341" s="16" t="s">
        <v>4989</v>
      </c>
      <c r="R2341" s="17" t="s">
        <v>4990</v>
      </c>
      <c r="S2341" s="12"/>
      <c r="T2341" s="12"/>
      <c r="U2341" s="10" t="str">
        <f>HYPERLINK("https://pbs.twimg.com/profile_images/924658553121640448/v126-zQr.jpg","View")</f>
        <v>View</v>
      </c>
    </row>
    <row r="2342" spans="1:21" ht="40.799999999999997">
      <c r="A2342" s="6">
        <v>43424.39880787037</v>
      </c>
      <c r="B2342" s="7" t="str">
        <f>HYPERLINK("https://twitter.com/Tito_gyc","@Tito_gyc")</f>
        <v>@Tito_gyc</v>
      </c>
      <c r="C2342" s="8" t="s">
        <v>7753</v>
      </c>
      <c r="D2342" s="9" t="s">
        <v>7754</v>
      </c>
      <c r="E2342" s="10" t="str">
        <f>HYPERLINK("https://twitter.com/Tito_gyc/status/1064799077492232193","1064799077492232193")</f>
        <v>1064799077492232193</v>
      </c>
      <c r="F2342" s="12"/>
      <c r="G2342" s="12"/>
      <c r="H2342" s="12"/>
      <c r="I2342" s="13">
        <v>3</v>
      </c>
      <c r="J2342" s="13">
        <v>7</v>
      </c>
      <c r="K2342" s="14" t="str">
        <f t="shared" si="498"/>
        <v>Twitter for Android</v>
      </c>
      <c r="L2342" s="13">
        <v>2533</v>
      </c>
      <c r="M2342" s="13">
        <v>2453</v>
      </c>
      <c r="N2342" s="13">
        <v>25</v>
      </c>
      <c r="O2342" s="15"/>
      <c r="P2342" s="6">
        <v>40972.665486111109</v>
      </c>
      <c r="Q2342" s="16" t="s">
        <v>7755</v>
      </c>
      <c r="R2342" s="17" t="s">
        <v>7756</v>
      </c>
      <c r="S2342" s="12"/>
      <c r="T2342" s="12"/>
      <c r="U2342" s="10" t="str">
        <f>HYPERLINK("https://pbs.twimg.com/profile_images/1065355204504231936/F84xCAhs.jpg","View")</f>
        <v>View</v>
      </c>
    </row>
    <row r="2343" spans="1:21" ht="30.6">
      <c r="A2343" s="6">
        <v>43424.398541666669</v>
      </c>
      <c r="B2343" s="7" t="str">
        <f>HYPERLINK("https://twitter.com/freedreamy_","@freedreamy_")</f>
        <v>@freedreamy_</v>
      </c>
      <c r="C2343" s="8" t="s">
        <v>7757</v>
      </c>
      <c r="D2343" s="9" t="s">
        <v>7758</v>
      </c>
      <c r="E2343" s="10" t="str">
        <f>HYPERLINK("https://twitter.com/freedreamy_/status/1064798981761437696","1064798981761437696")</f>
        <v>1064798981761437696</v>
      </c>
      <c r="F2343" s="12"/>
      <c r="G2343" s="12"/>
      <c r="H2343" s="12"/>
      <c r="I2343" s="13">
        <v>1</v>
      </c>
      <c r="J2343" s="13">
        <v>0</v>
      </c>
      <c r="K2343" s="14" t="str">
        <f t="shared" si="498"/>
        <v>Twitter for Android</v>
      </c>
      <c r="L2343" s="13">
        <v>1578</v>
      </c>
      <c r="M2343" s="13">
        <v>1191</v>
      </c>
      <c r="N2343" s="13">
        <v>24</v>
      </c>
      <c r="O2343" s="15"/>
      <c r="P2343" s="6">
        <v>40572.568344907406</v>
      </c>
      <c r="Q2343" s="12"/>
      <c r="R2343" s="17" t="s">
        <v>7759</v>
      </c>
      <c r="S2343" s="12"/>
      <c r="T2343" s="12"/>
      <c r="U2343" s="10" t="str">
        <f>HYPERLINK("https://pbs.twimg.com/profile_images/560222416866410496/iINwb37s.jpeg","View")</f>
        <v>View</v>
      </c>
    </row>
    <row r="2344" spans="1:21" ht="20.399999999999999">
      <c r="A2344" s="6">
        <v>43424.397766203707</v>
      </c>
      <c r="B2344" s="7" t="str">
        <f>HYPERLINK("https://twitter.com/TeresaGS26","@TeresaGS26")</f>
        <v>@TeresaGS26</v>
      </c>
      <c r="C2344" s="8" t="s">
        <v>7760</v>
      </c>
      <c r="D2344" s="9" t="s">
        <v>7761</v>
      </c>
      <c r="E2344" s="10" t="str">
        <f>HYPERLINK("https://twitter.com/TeresaGS26/status/1064798698201325568","1064798698201325568")</f>
        <v>1064798698201325568</v>
      </c>
      <c r="F2344" s="11" t="s">
        <v>7058</v>
      </c>
      <c r="G2344" s="12"/>
      <c r="H2344" s="12"/>
      <c r="I2344" s="13">
        <v>0</v>
      </c>
      <c r="J2344" s="13">
        <v>0</v>
      </c>
      <c r="K2344" s="14" t="str">
        <f>HYPERLINK("http://twitter.com/download/iphone","Twitter for iPhone")</f>
        <v>Twitter for iPhone</v>
      </c>
      <c r="L2344" s="13">
        <v>837</v>
      </c>
      <c r="M2344" s="13">
        <v>1017</v>
      </c>
      <c r="N2344" s="13">
        <v>17</v>
      </c>
      <c r="O2344" s="15"/>
      <c r="P2344" s="6">
        <v>42241.614548611113</v>
      </c>
      <c r="Q2344" s="12"/>
      <c r="R2344" s="17" t="s">
        <v>7762</v>
      </c>
      <c r="S2344" s="12"/>
      <c r="T2344" s="12"/>
      <c r="U2344" s="10" t="str">
        <f>HYPERLINK("https://pbs.twimg.com/profile_images/636159808249446400/2J9thX4B.jpg","View")</f>
        <v>View</v>
      </c>
    </row>
    <row r="2345" spans="1:21" ht="30.6">
      <c r="A2345" s="6">
        <v>43424.395937499998</v>
      </c>
      <c r="B2345" s="7" t="str">
        <f>HYPERLINK("https://twitter.com/NachoEspada","@NachoEspada")</f>
        <v>@NachoEspada</v>
      </c>
      <c r="C2345" s="8" t="s">
        <v>7763</v>
      </c>
      <c r="D2345" s="9" t="s">
        <v>7684</v>
      </c>
      <c r="E2345" s="10" t="str">
        <f>HYPERLINK("https://twitter.com/NachoEspada/status/1064798036784832512","1064798036784832512")</f>
        <v>1064798036784832512</v>
      </c>
      <c r="F2345" s="11" t="s">
        <v>7058</v>
      </c>
      <c r="G2345" s="12"/>
      <c r="H2345" s="12"/>
      <c r="I2345" s="13">
        <v>0</v>
      </c>
      <c r="J2345" s="13">
        <v>0</v>
      </c>
      <c r="K2345" s="14" t="str">
        <f>HYPERLINK("http://twitter.com","Twitter Web Client")</f>
        <v>Twitter Web Client</v>
      </c>
      <c r="L2345" s="13">
        <v>1543</v>
      </c>
      <c r="M2345" s="13">
        <v>3833</v>
      </c>
      <c r="N2345" s="13">
        <v>65</v>
      </c>
      <c r="O2345" s="15"/>
      <c r="P2345" s="6">
        <v>40319.550405092596</v>
      </c>
      <c r="Q2345" s="16" t="s">
        <v>7764</v>
      </c>
      <c r="R2345" s="17" t="s">
        <v>7765</v>
      </c>
      <c r="S2345" s="11" t="s">
        <v>7766</v>
      </c>
      <c r="T2345" s="12"/>
      <c r="U2345" s="10" t="str">
        <f>HYPERLINK("https://pbs.twimg.com/profile_images/892312490952052736/7uQS0ak_.jpg","View")</f>
        <v>View</v>
      </c>
    </row>
    <row r="2346" spans="1:21" ht="40.799999999999997">
      <c r="A2346" s="6">
        <v>43424.394814814819</v>
      </c>
      <c r="B2346" s="7" t="str">
        <f>HYPERLINK("https://twitter.com/ISosprisiones","@ISosprisiones")</f>
        <v>@ISosprisiones</v>
      </c>
      <c r="C2346" s="8" t="s">
        <v>5844</v>
      </c>
      <c r="D2346" s="9" t="s">
        <v>5845</v>
      </c>
      <c r="E2346" s="10" t="str">
        <f>HYPERLINK("https://twitter.com/ISosprisiones/status/1064797628825812994","1064797628825812994")</f>
        <v>1064797628825812994</v>
      </c>
      <c r="F2346" s="12"/>
      <c r="G2346" s="12"/>
      <c r="H2346" s="12"/>
      <c r="I2346" s="13">
        <v>52</v>
      </c>
      <c r="J2346" s="13">
        <v>35</v>
      </c>
      <c r="K2346" s="14" t="str">
        <f>HYPERLINK("http://twitter.com/download/android","Twitter for Android")</f>
        <v>Twitter for Android</v>
      </c>
      <c r="L2346" s="13">
        <v>40</v>
      </c>
      <c r="M2346" s="13">
        <v>80</v>
      </c>
      <c r="N2346" s="13">
        <v>0</v>
      </c>
      <c r="O2346" s="15"/>
      <c r="P2346" s="6">
        <v>43424.345509259263</v>
      </c>
      <c r="Q2346" s="12"/>
      <c r="R2346" s="19"/>
      <c r="S2346" s="12"/>
      <c r="T2346" s="12"/>
      <c r="U2346" s="10" t="str">
        <f>HYPERLINK("https://pbs.twimg.com/profile_images/1064796475354427392/SBnXg1GM.jpg","View")</f>
        <v>View</v>
      </c>
    </row>
    <row r="2347" spans="1:21" ht="40.799999999999997">
      <c r="A2347" s="6">
        <v>43424.394479166665</v>
      </c>
      <c r="B2347" s="7" t="str">
        <f>HYPERLINK("https://twitter.com/EspejoPublico","@EspejoPublico")</f>
        <v>@EspejoPublico</v>
      </c>
      <c r="C2347" s="8" t="s">
        <v>5834</v>
      </c>
      <c r="D2347" s="9" t="s">
        <v>5846</v>
      </c>
      <c r="E2347" s="10" t="str">
        <f>HYPERLINK("https://twitter.com/EspejoPublico/status/1064797507824300032","1064797507824300032")</f>
        <v>1064797507824300032</v>
      </c>
      <c r="F2347" s="11" t="s">
        <v>5837</v>
      </c>
      <c r="G2347" s="11" t="s">
        <v>5847</v>
      </c>
      <c r="H2347" s="12"/>
      <c r="I2347" s="13">
        <v>9</v>
      </c>
      <c r="J2347" s="13">
        <v>13</v>
      </c>
      <c r="K2347" s="14" t="str">
        <f>HYPERLINK("http://twitter.com","Twitter Web Client")</f>
        <v>Twitter Web Client</v>
      </c>
      <c r="L2347" s="13">
        <v>265617</v>
      </c>
      <c r="M2347" s="13">
        <v>3614</v>
      </c>
      <c r="N2347" s="13">
        <v>1270</v>
      </c>
      <c r="O2347" s="18" t="s">
        <v>36</v>
      </c>
      <c r="P2347" s="6">
        <v>40051.800717592589</v>
      </c>
      <c r="Q2347" s="16" t="s">
        <v>5839</v>
      </c>
      <c r="R2347" s="17" t="s">
        <v>5840</v>
      </c>
      <c r="S2347" s="11" t="s">
        <v>5841</v>
      </c>
      <c r="T2347" s="12"/>
      <c r="U2347" s="10" t="str">
        <f>HYPERLINK("https://pbs.twimg.com/profile_images/903630837866000384/yctjIpk1.jpg","View")</f>
        <v>View</v>
      </c>
    </row>
    <row r="2348" spans="1:21" ht="40.799999999999997">
      <c r="A2348" s="6">
        <v>43424.39434027778</v>
      </c>
      <c r="B2348" s="7" t="str">
        <f>HYPERLINK("https://twitter.com/juancartxo","@juancartxo")</f>
        <v>@juancartxo</v>
      </c>
      <c r="C2348" s="8" t="s">
        <v>5803</v>
      </c>
      <c r="D2348" s="9" t="s">
        <v>5848</v>
      </c>
      <c r="E2348" s="10" t="str">
        <f>HYPERLINK("https://twitter.com/juancartxo/status/1064797455491977216","1064797455491977216")</f>
        <v>1064797455491977216</v>
      </c>
      <c r="F2348" s="12"/>
      <c r="G2348" s="12"/>
      <c r="H2348" s="12"/>
      <c r="I2348" s="13">
        <v>0</v>
      </c>
      <c r="J2348" s="13">
        <v>0</v>
      </c>
      <c r="K2348" s="14" t="str">
        <f>HYPERLINK("http://twitter.com/download/android","Twitter for Android")</f>
        <v>Twitter for Android</v>
      </c>
      <c r="L2348" s="13">
        <v>126</v>
      </c>
      <c r="M2348" s="13">
        <v>443</v>
      </c>
      <c r="N2348" s="13">
        <v>0</v>
      </c>
      <c r="O2348" s="15"/>
      <c r="P2348" s="6">
        <v>40568.929074074076</v>
      </c>
      <c r="Q2348" s="16" t="s">
        <v>5805</v>
      </c>
      <c r="R2348" s="19"/>
      <c r="S2348" s="12"/>
      <c r="T2348" s="12"/>
      <c r="U2348" s="10" t="str">
        <f>HYPERLINK("https://pbs.twimg.com/profile_images/989948255038558211/PkJXJHgg.jpg","View")</f>
        <v>View</v>
      </c>
    </row>
    <row r="2349" spans="1:21" ht="30.6">
      <c r="A2349" s="6">
        <v>43424.394120370373</v>
      </c>
      <c r="B2349" s="7" t="str">
        <f>HYPERLINK("https://twitter.com/josearuizp","@josearuizp")</f>
        <v>@josearuizp</v>
      </c>
      <c r="C2349" s="8" t="s">
        <v>7767</v>
      </c>
      <c r="D2349" s="9" t="s">
        <v>7768</v>
      </c>
      <c r="E2349" s="10" t="str">
        <f>HYPERLINK("https://twitter.com/josearuizp/status/1064797378312581120","1064797378312581120")</f>
        <v>1064797378312581120</v>
      </c>
      <c r="F2349" s="12"/>
      <c r="G2349" s="12"/>
      <c r="H2349" s="12"/>
      <c r="I2349" s="13">
        <v>1</v>
      </c>
      <c r="J2349" s="13">
        <v>1</v>
      </c>
      <c r="K2349" s="14" t="str">
        <f t="shared" ref="K2349:K2350" si="499">HYPERLINK("http://twitter.com","Twitter Web Client")</f>
        <v>Twitter Web Client</v>
      </c>
      <c r="L2349" s="13">
        <v>300</v>
      </c>
      <c r="M2349" s="13">
        <v>299</v>
      </c>
      <c r="N2349" s="13">
        <v>13</v>
      </c>
      <c r="O2349" s="15"/>
      <c r="P2349" s="6">
        <v>40104.62773148148</v>
      </c>
      <c r="Q2349" s="16" t="s">
        <v>7769</v>
      </c>
      <c r="R2349" s="17" t="s">
        <v>7770</v>
      </c>
      <c r="S2349" s="11" t="s">
        <v>7771</v>
      </c>
      <c r="T2349" s="12"/>
      <c r="U2349" s="10" t="str">
        <f>HYPERLINK("https://pbs.twimg.com/profile_images/597144057010397188/6vOm0inC.jpg","View")</f>
        <v>View</v>
      </c>
    </row>
    <row r="2350" spans="1:21" ht="30.6">
      <c r="A2350" s="6">
        <v>43424.391921296294</v>
      </c>
      <c r="B2350" s="7" t="str">
        <f>HYPERLINK("https://twitter.com/EspejoPublico","@EspejoPublico")</f>
        <v>@EspejoPublico</v>
      </c>
      <c r="C2350" s="8" t="s">
        <v>5834</v>
      </c>
      <c r="D2350" s="9" t="s">
        <v>5849</v>
      </c>
      <c r="E2350" s="10" t="str">
        <f>HYPERLINK("https://twitter.com/EspejoPublico/status/1064796581776539653","1064796581776539653")</f>
        <v>1064796581776539653</v>
      </c>
      <c r="F2350" s="11" t="s">
        <v>5837</v>
      </c>
      <c r="G2350" s="11" t="s">
        <v>5850</v>
      </c>
      <c r="H2350" s="12"/>
      <c r="I2350" s="13">
        <v>1</v>
      </c>
      <c r="J2350" s="13">
        <v>4</v>
      </c>
      <c r="K2350" s="14" t="str">
        <f t="shared" si="499"/>
        <v>Twitter Web Client</v>
      </c>
      <c r="L2350" s="13">
        <v>265617</v>
      </c>
      <c r="M2350" s="13">
        <v>3614</v>
      </c>
      <c r="N2350" s="13">
        <v>1270</v>
      </c>
      <c r="O2350" s="18" t="s">
        <v>36</v>
      </c>
      <c r="P2350" s="6">
        <v>40051.800717592589</v>
      </c>
      <c r="Q2350" s="16" t="s">
        <v>5839</v>
      </c>
      <c r="R2350" s="17" t="s">
        <v>5840</v>
      </c>
      <c r="S2350" s="11" t="s">
        <v>5841</v>
      </c>
      <c r="T2350" s="12"/>
      <c r="U2350" s="10" t="str">
        <f>HYPERLINK("https://pbs.twimg.com/profile_images/903630837866000384/yctjIpk1.jpg","View")</f>
        <v>View</v>
      </c>
    </row>
    <row r="2351" spans="1:21" ht="51">
      <c r="A2351" s="6">
        <v>43424.391574074078</v>
      </c>
      <c r="B2351" s="7" t="str">
        <f>HYPERLINK("https://twitter.com/oitaven","@oitaven")</f>
        <v>@oitaven</v>
      </c>
      <c r="C2351" s="8" t="s">
        <v>5741</v>
      </c>
      <c r="D2351" s="9" t="s">
        <v>5854</v>
      </c>
      <c r="E2351" s="10" t="str">
        <f>HYPERLINK("https://twitter.com/oitaven/status/1064796456081678336","1064796456081678336")</f>
        <v>1064796456081678336</v>
      </c>
      <c r="F2351" s="11" t="s">
        <v>5856</v>
      </c>
      <c r="G2351" s="12"/>
      <c r="H2351" s="12"/>
      <c r="I2351" s="13">
        <v>0</v>
      </c>
      <c r="J2351" s="13">
        <v>1</v>
      </c>
      <c r="K2351" s="14" t="str">
        <f>HYPERLINK("http://twitter.com/download/android","Twitter for Android")</f>
        <v>Twitter for Android</v>
      </c>
      <c r="L2351" s="13">
        <v>372</v>
      </c>
      <c r="M2351" s="13">
        <v>1147</v>
      </c>
      <c r="N2351" s="13">
        <v>2</v>
      </c>
      <c r="O2351" s="15"/>
      <c r="P2351" s="6">
        <v>40342.016446759255</v>
      </c>
      <c r="Q2351" s="12"/>
      <c r="R2351" s="17" t="s">
        <v>5746</v>
      </c>
      <c r="S2351" s="12"/>
      <c r="T2351" s="12"/>
      <c r="U2351" s="10" t="str">
        <f>HYPERLINK("https://pbs.twimg.com/profile_images/916703450469142529/vlCd_u33.jpg","View")</f>
        <v>View</v>
      </c>
    </row>
    <row r="2352" spans="1:21" ht="20.399999999999999">
      <c r="A2352" s="6">
        <v>43424.389641203699</v>
      </c>
      <c r="B2352" s="7" t="str">
        <f>HYPERLINK("https://twitter.com/fernandobenito4","@fernandobenito4")</f>
        <v>@fernandobenito4</v>
      </c>
      <c r="C2352" s="8" t="s">
        <v>5860</v>
      </c>
      <c r="D2352" s="9" t="s">
        <v>5861</v>
      </c>
      <c r="E2352" s="10" t="str">
        <f>HYPERLINK("https://twitter.com/fernandobenito4/status/1064795755884482565","1064795755884482565")</f>
        <v>1064795755884482565</v>
      </c>
      <c r="F2352" s="12"/>
      <c r="G2352" s="12"/>
      <c r="H2352" s="12"/>
      <c r="I2352" s="13">
        <v>0</v>
      </c>
      <c r="J2352" s="13">
        <v>0</v>
      </c>
      <c r="K2352" s="14" t="str">
        <f>HYPERLINK("http://twitter.com/download/iphone","Twitter for iPhone")</f>
        <v>Twitter for iPhone</v>
      </c>
      <c r="L2352" s="13">
        <v>568</v>
      </c>
      <c r="M2352" s="13">
        <v>937</v>
      </c>
      <c r="N2352" s="13">
        <v>12</v>
      </c>
      <c r="O2352" s="15"/>
      <c r="P2352" s="6">
        <v>40707.720173611109</v>
      </c>
      <c r="Q2352" s="12"/>
      <c r="R2352" s="17" t="s">
        <v>5863</v>
      </c>
      <c r="S2352" s="12"/>
      <c r="T2352" s="12"/>
      <c r="U2352" s="10" t="str">
        <f>HYPERLINK("https://pbs.twimg.com/profile_images/883223283801481216/s-Euj3h0.jpg","View")</f>
        <v>View</v>
      </c>
    </row>
    <row r="2353" spans="1:21" ht="30.6">
      <c r="A2353" s="6">
        <v>43424.389583333337</v>
      </c>
      <c r="B2353" s="7" t="str">
        <f>HYPERLINK("https://twitter.com/ElHuffPost","@ElHuffPost")</f>
        <v>@ElHuffPost</v>
      </c>
      <c r="C2353" s="8" t="s">
        <v>6203</v>
      </c>
      <c r="D2353" s="9" t="s">
        <v>7564</v>
      </c>
      <c r="E2353" s="10" t="str">
        <f>HYPERLINK("https://twitter.com/ElHuffPost/status/1064795732832440320","1064795732832440320")</f>
        <v>1064795732832440320</v>
      </c>
      <c r="F2353" s="11" t="s">
        <v>7481</v>
      </c>
      <c r="G2353" s="12"/>
      <c r="H2353" s="12"/>
      <c r="I2353" s="13">
        <v>2</v>
      </c>
      <c r="J2353" s="13">
        <v>8</v>
      </c>
      <c r="K2353" s="14" t="str">
        <f>HYPERLINK("https://about.twitter.com/products/tweetdeck","TweetDeck")</f>
        <v>TweetDeck</v>
      </c>
      <c r="L2353" s="13">
        <v>430324</v>
      </c>
      <c r="M2353" s="13">
        <v>1532</v>
      </c>
      <c r="N2353" s="13">
        <v>8188</v>
      </c>
      <c r="O2353" s="18" t="s">
        <v>36</v>
      </c>
      <c r="P2353" s="6">
        <v>40785.027118055557</v>
      </c>
      <c r="Q2353" s="16" t="s">
        <v>440</v>
      </c>
      <c r="R2353" s="17" t="s">
        <v>6205</v>
      </c>
      <c r="S2353" s="11" t="s">
        <v>6206</v>
      </c>
      <c r="T2353" s="12"/>
      <c r="U2353" s="10" t="str">
        <f>HYPERLINK("https://pbs.twimg.com/profile_images/921140803422089217/ETOEUOAx.jpg","View")</f>
        <v>View</v>
      </c>
    </row>
    <row r="2354" spans="1:21" ht="20.399999999999999">
      <c r="A2354" s="6">
        <v>43424.385115740741</v>
      </c>
      <c r="B2354" s="7" t="str">
        <f>HYPERLINK("https://twitter.com/enricllauger","@enricllauger")</f>
        <v>@enricllauger</v>
      </c>
      <c r="C2354" s="8" t="s">
        <v>5864</v>
      </c>
      <c r="D2354" s="9" t="s">
        <v>5865</v>
      </c>
      <c r="E2354" s="10" t="str">
        <f>HYPERLINK("https://twitter.com/enricllauger/status/1064794113583824896","1064794113583824896")</f>
        <v>1064794113583824896</v>
      </c>
      <c r="F2354" s="12"/>
      <c r="G2354" s="12"/>
      <c r="H2354" s="12"/>
      <c r="I2354" s="13">
        <v>0</v>
      </c>
      <c r="J2354" s="13">
        <v>1</v>
      </c>
      <c r="K2354" s="14" t="str">
        <f>HYPERLINK("http://twitter.com","Twitter Web Client")</f>
        <v>Twitter Web Client</v>
      </c>
      <c r="L2354" s="13">
        <v>3122</v>
      </c>
      <c r="M2354" s="13">
        <v>3953</v>
      </c>
      <c r="N2354" s="13">
        <v>39</v>
      </c>
      <c r="O2354" s="15"/>
      <c r="P2354" s="6">
        <v>40580.750567129631</v>
      </c>
      <c r="Q2354" s="16" t="s">
        <v>5866</v>
      </c>
      <c r="R2354" s="17" t="s">
        <v>5867</v>
      </c>
      <c r="S2354" s="12"/>
      <c r="T2354" s="12"/>
      <c r="U2354" s="10" t="str">
        <f>HYPERLINK("https://pbs.twimg.com/profile_images/939261844161777665/8TK0SICl.jpg","View")</f>
        <v>View</v>
      </c>
    </row>
    <row r="2355" spans="1:21" ht="20.399999999999999">
      <c r="A2355" s="6">
        <v>43424.38453703704</v>
      </c>
      <c r="B2355" s="7" t="str">
        <f>HYPERLINK("https://twitter.com/GquirogaGonzalo","@GquirogaGonzalo")</f>
        <v>@GquirogaGonzalo</v>
      </c>
      <c r="C2355" s="8" t="s">
        <v>4567</v>
      </c>
      <c r="D2355" s="9" t="s">
        <v>7772</v>
      </c>
      <c r="E2355" s="10" t="str">
        <f>HYPERLINK("https://twitter.com/GquirogaGonzalo/status/1064793904258662400","1064793904258662400")</f>
        <v>1064793904258662400</v>
      </c>
      <c r="F2355" s="12"/>
      <c r="G2355" s="12"/>
      <c r="H2355" s="12"/>
      <c r="I2355" s="13">
        <v>1</v>
      </c>
      <c r="J2355" s="13">
        <v>2</v>
      </c>
      <c r="K2355" s="14" t="str">
        <f t="shared" ref="K2355:K2357" si="500">HYPERLINK("http://twitter.com/download/android","Twitter for Android")</f>
        <v>Twitter for Android</v>
      </c>
      <c r="L2355" s="13">
        <v>2866</v>
      </c>
      <c r="M2355" s="13">
        <v>5001</v>
      </c>
      <c r="N2355" s="13">
        <v>30</v>
      </c>
      <c r="O2355" s="15"/>
      <c r="P2355" s="6">
        <v>41614.554907407408</v>
      </c>
      <c r="Q2355" s="12"/>
      <c r="R2355" s="17" t="s">
        <v>7773</v>
      </c>
      <c r="S2355" s="12"/>
      <c r="T2355" s="12"/>
      <c r="U2355" s="10" t="str">
        <f>HYPERLINK("https://pbs.twimg.com/profile_images/928029513669332992/h42Zg1ls.jpg","View")</f>
        <v>View</v>
      </c>
    </row>
    <row r="2356" spans="1:21" ht="20.399999999999999">
      <c r="A2356" s="6">
        <v>43424.382303240738</v>
      </c>
      <c r="B2356" s="7" t="str">
        <f>HYPERLINK("https://twitter.com/marisol200169","@marisol200169")</f>
        <v>@marisol200169</v>
      </c>
      <c r="C2356" s="8" t="s">
        <v>7774</v>
      </c>
      <c r="D2356" s="9" t="s">
        <v>7684</v>
      </c>
      <c r="E2356" s="10" t="str">
        <f>HYPERLINK("https://twitter.com/marisol200169/status/1064793095303294976","1064793095303294976")</f>
        <v>1064793095303294976</v>
      </c>
      <c r="F2356" s="11" t="s">
        <v>7058</v>
      </c>
      <c r="G2356" s="12"/>
      <c r="H2356" s="12"/>
      <c r="I2356" s="13">
        <v>0</v>
      </c>
      <c r="J2356" s="13">
        <v>0</v>
      </c>
      <c r="K2356" s="14" t="str">
        <f t="shared" si="500"/>
        <v>Twitter for Android</v>
      </c>
      <c r="L2356" s="13">
        <v>152</v>
      </c>
      <c r="M2356" s="13">
        <v>454</v>
      </c>
      <c r="N2356" s="13">
        <v>0</v>
      </c>
      <c r="O2356" s="15"/>
      <c r="P2356" s="6">
        <v>41482.035219907411</v>
      </c>
      <c r="Q2356" s="16" t="s">
        <v>7775</v>
      </c>
      <c r="R2356" s="17" t="s">
        <v>7776</v>
      </c>
      <c r="S2356" s="12"/>
      <c r="T2356" s="12"/>
      <c r="U2356" s="10" t="str">
        <f>HYPERLINK("https://pbs.twimg.com/profile_images/1064952024884830208/Cfid6j73.jpg","View")</f>
        <v>View</v>
      </c>
    </row>
    <row r="2357" spans="1:21" ht="102">
      <c r="A2357" s="6">
        <v>43424.381030092598</v>
      </c>
      <c r="B2357" s="7" t="str">
        <f>HYPERLINK("https://twitter.com/ernestortegalh","@ernestortegalh")</f>
        <v>@ernestortegalh</v>
      </c>
      <c r="C2357" s="8" t="s">
        <v>5871</v>
      </c>
      <c r="D2357" s="9" t="s">
        <v>5872</v>
      </c>
      <c r="E2357" s="10" t="str">
        <f>HYPERLINK("https://twitter.com/ernestortegalh/status/1064792634814803968","1064792634814803968")</f>
        <v>1064792634814803968</v>
      </c>
      <c r="F2357" s="11" t="s">
        <v>5455</v>
      </c>
      <c r="G2357" s="11" t="s">
        <v>5456</v>
      </c>
      <c r="H2357" s="12"/>
      <c r="I2357" s="13">
        <v>0</v>
      </c>
      <c r="J2357" s="13">
        <v>0</v>
      </c>
      <c r="K2357" s="14" t="str">
        <f t="shared" si="500"/>
        <v>Twitter for Android</v>
      </c>
      <c r="L2357" s="13">
        <v>972</v>
      </c>
      <c r="M2357" s="13">
        <v>857</v>
      </c>
      <c r="N2357" s="13">
        <v>16</v>
      </c>
      <c r="O2357" s="15"/>
      <c r="P2357" s="6">
        <v>40990.970081018517</v>
      </c>
      <c r="Q2357" s="16" t="s">
        <v>5876</v>
      </c>
      <c r="R2357" s="19"/>
      <c r="S2357" s="12"/>
      <c r="T2357" s="12"/>
      <c r="U2357" s="10" t="str">
        <f>HYPERLINK("https://pbs.twimg.com/profile_images/943989776096604160/AnjRQFw1.jpg","View")</f>
        <v>View</v>
      </c>
    </row>
    <row r="2358" spans="1:21" ht="51">
      <c r="A2358" s="6">
        <v>43424.379444444443</v>
      </c>
      <c r="B2358" s="7" t="str">
        <f>HYPERLINK("https://twitter.com/GranadaCnSusana","@GranadaCnSusana")</f>
        <v>@GranadaCnSusana</v>
      </c>
      <c r="C2358" s="8" t="s">
        <v>1823</v>
      </c>
      <c r="D2358" s="9" t="s">
        <v>7777</v>
      </c>
      <c r="E2358" s="10" t="str">
        <f>HYPERLINK("https://twitter.com/GranadaCnSusana/status/1064792058936868864","1064792058936868864")</f>
        <v>1064792058936868864</v>
      </c>
      <c r="F2358" s="12"/>
      <c r="G2358" s="11" t="s">
        <v>7778</v>
      </c>
      <c r="H2358" s="12"/>
      <c r="I2358" s="13">
        <v>0</v>
      </c>
      <c r="J2358" s="13">
        <v>0</v>
      </c>
      <c r="K2358" s="14" t="str">
        <f t="shared" ref="K2358:K2359" si="501">HYPERLINK("https://ifttt.com","IFTTT")</f>
        <v>IFTTT</v>
      </c>
      <c r="L2358" s="13">
        <v>1937</v>
      </c>
      <c r="M2358" s="13">
        <v>1280</v>
      </c>
      <c r="N2358" s="13">
        <v>17</v>
      </c>
      <c r="O2358" s="15"/>
      <c r="P2358" s="6">
        <v>42038.445960648147</v>
      </c>
      <c r="Q2358" s="12"/>
      <c r="R2358" s="17" t="s">
        <v>1827</v>
      </c>
      <c r="S2358" s="12"/>
      <c r="T2358" s="12"/>
      <c r="U2358" s="10" t="str">
        <f>HYPERLINK("https://pbs.twimg.com/profile_images/867062818650152961/05wVQ27K.jpg","View")</f>
        <v>View</v>
      </c>
    </row>
    <row r="2359" spans="1:21" ht="51">
      <c r="A2359" s="6">
        <v>43424.377789351856</v>
      </c>
      <c r="B2359" s="7" t="str">
        <f>HYPERLINK("https://twitter.com/GustavoHervas","@GustavoHervas")</f>
        <v>@GustavoHervas</v>
      </c>
      <c r="C2359" s="8" t="s">
        <v>1830</v>
      </c>
      <c r="D2359" s="9" t="s">
        <v>7777</v>
      </c>
      <c r="E2359" s="10" t="str">
        <f>HYPERLINK("https://twitter.com/GustavoHervas/status/1064791461697372160","1064791461697372160")</f>
        <v>1064791461697372160</v>
      </c>
      <c r="F2359" s="12"/>
      <c r="G2359" s="11" t="s">
        <v>7778</v>
      </c>
      <c r="H2359" s="12"/>
      <c r="I2359" s="13">
        <v>0</v>
      </c>
      <c r="J2359" s="13">
        <v>0</v>
      </c>
      <c r="K2359" s="14" t="str">
        <f t="shared" si="501"/>
        <v>IFTTT</v>
      </c>
      <c r="L2359" s="13">
        <v>3175</v>
      </c>
      <c r="M2359" s="13">
        <v>892</v>
      </c>
      <c r="N2359" s="13">
        <v>7</v>
      </c>
      <c r="O2359" s="15"/>
      <c r="P2359" s="6">
        <v>41333.983495370368</v>
      </c>
      <c r="Q2359" s="16" t="s">
        <v>181</v>
      </c>
      <c r="R2359" s="17" t="s">
        <v>1831</v>
      </c>
      <c r="S2359" s="12"/>
      <c r="T2359" s="12"/>
      <c r="U2359" s="10" t="str">
        <f>HYPERLINK("https://pbs.twimg.com/profile_images/456084345875628035/MgW52-4R.jpeg","View")</f>
        <v>View</v>
      </c>
    </row>
    <row r="2360" spans="1:21" ht="40.799999999999997">
      <c r="A2360" s="6">
        <v>43424.377743055556</v>
      </c>
      <c r="B2360" s="7" t="str">
        <f>HYPERLINK("https://twitter.com/racle7","@racle7")</f>
        <v>@racle7</v>
      </c>
      <c r="C2360" s="8" t="s">
        <v>7779</v>
      </c>
      <c r="D2360" s="9" t="s">
        <v>7603</v>
      </c>
      <c r="E2360" s="10" t="str">
        <f>HYPERLINK("https://twitter.com/racle7/status/1064791441162059777","1064791441162059777")</f>
        <v>1064791441162059777</v>
      </c>
      <c r="F2360" s="11" t="s">
        <v>7511</v>
      </c>
      <c r="G2360" s="12"/>
      <c r="H2360" s="12"/>
      <c r="I2360" s="13">
        <v>0</v>
      </c>
      <c r="J2360" s="13">
        <v>0</v>
      </c>
      <c r="K2360" s="14" t="str">
        <f>HYPERLINK("http://twitter.com","Twitter Web Client")</f>
        <v>Twitter Web Client</v>
      </c>
      <c r="L2360" s="13">
        <v>2699</v>
      </c>
      <c r="M2360" s="13">
        <v>2770</v>
      </c>
      <c r="N2360" s="13">
        <v>51</v>
      </c>
      <c r="O2360" s="15"/>
      <c r="P2360" s="6">
        <v>40457.914456018516</v>
      </c>
      <c r="Q2360" s="12"/>
      <c r="R2360" s="17" t="s">
        <v>7780</v>
      </c>
      <c r="S2360" s="12"/>
      <c r="T2360" s="12"/>
      <c r="U2360" s="10" t="str">
        <f>HYPERLINK("https://pbs.twimg.com/profile_images/2103468825/1498.gif","View")</f>
        <v>View</v>
      </c>
    </row>
    <row r="2361" spans="1:21" ht="30.6">
      <c r="A2361" s="6">
        <v>43424.374907407408</v>
      </c>
      <c r="B2361" s="7" t="str">
        <f>HYPERLINK("https://twitter.com/marlowphilippe","@marlowphilippe")</f>
        <v>@marlowphilippe</v>
      </c>
      <c r="C2361" s="8" t="s">
        <v>7781</v>
      </c>
      <c r="D2361" s="9" t="s">
        <v>7782</v>
      </c>
      <c r="E2361" s="10" t="str">
        <f>HYPERLINK("https://twitter.com/marlowphilippe/status/1064790413532385280","1064790413532385280")</f>
        <v>1064790413532385280</v>
      </c>
      <c r="F2361" s="11" t="s">
        <v>7058</v>
      </c>
      <c r="G2361" s="12"/>
      <c r="H2361" s="12"/>
      <c r="I2361" s="13">
        <v>0</v>
      </c>
      <c r="J2361" s="13">
        <v>0</v>
      </c>
      <c r="K2361" s="14" t="str">
        <f t="shared" ref="K2361:K2362" si="502">HYPERLINK("http://twitter.com/download/android","Twitter for Android")</f>
        <v>Twitter for Android</v>
      </c>
      <c r="L2361" s="13">
        <v>974</v>
      </c>
      <c r="M2361" s="13">
        <v>945</v>
      </c>
      <c r="N2361" s="13">
        <v>19</v>
      </c>
      <c r="O2361" s="15"/>
      <c r="P2361" s="6">
        <v>41292.842662037037</v>
      </c>
      <c r="Q2361" s="12"/>
      <c r="R2361" s="17" t="s">
        <v>7783</v>
      </c>
      <c r="S2361" s="12"/>
      <c r="T2361" s="12"/>
      <c r="U2361" s="10" t="str">
        <f>HYPERLINK("https://pbs.twimg.com/profile_images/700726760388689921/i-14plLL.jpg","View")</f>
        <v>View</v>
      </c>
    </row>
    <row r="2362" spans="1:21" ht="51">
      <c r="A2362" s="6">
        <v>43424.37200231482</v>
      </c>
      <c r="B2362" s="7" t="str">
        <f>HYPERLINK("https://twitter.com/mlmorell","@mlmorell")</f>
        <v>@mlmorell</v>
      </c>
      <c r="C2362" s="8" t="s">
        <v>5878</v>
      </c>
      <c r="D2362" s="9" t="s">
        <v>5879</v>
      </c>
      <c r="E2362" s="10" t="str">
        <f>HYPERLINK("https://twitter.com/mlmorell/status/1064789360795623425","1064789360795623425")</f>
        <v>1064789360795623425</v>
      </c>
      <c r="F2362" s="11" t="s">
        <v>5880</v>
      </c>
      <c r="G2362" s="12"/>
      <c r="H2362" s="12"/>
      <c r="I2362" s="13">
        <v>32</v>
      </c>
      <c r="J2362" s="13">
        <v>35</v>
      </c>
      <c r="K2362" s="14" t="str">
        <f t="shared" si="502"/>
        <v>Twitter for Android</v>
      </c>
      <c r="L2362" s="13">
        <v>4266</v>
      </c>
      <c r="M2362" s="13">
        <v>3045</v>
      </c>
      <c r="N2362" s="13">
        <v>46</v>
      </c>
      <c r="O2362" s="15"/>
      <c r="P2362" s="6">
        <v>41404.447662037041</v>
      </c>
      <c r="Q2362" s="16" t="s">
        <v>1796</v>
      </c>
      <c r="R2362" s="17" t="s">
        <v>5881</v>
      </c>
      <c r="S2362" s="11" t="s">
        <v>5882</v>
      </c>
      <c r="T2362" s="12"/>
      <c r="U2362" s="10" t="str">
        <f>HYPERLINK("https://pbs.twimg.com/profile_images/3671342211/2aedc502cff1869bcf2d8d3c3efc67f8.jpeg","View")</f>
        <v>View</v>
      </c>
    </row>
    <row r="2363" spans="1:21" ht="40.799999999999997">
      <c r="A2363" s="6">
        <v>43424.371631944443</v>
      </c>
      <c r="B2363" s="7" t="str">
        <f>HYPERLINK("https://twitter.com/ElMundoEspana","@ElMundoEspana")</f>
        <v>@ElMundoEspana</v>
      </c>
      <c r="C2363" s="8" t="s">
        <v>3445</v>
      </c>
      <c r="D2363" s="9" t="s">
        <v>7603</v>
      </c>
      <c r="E2363" s="10" t="str">
        <f>HYPERLINK("https://twitter.com/ElMundoEspana/status/1064789230126284801","1064789230126284801")</f>
        <v>1064789230126284801</v>
      </c>
      <c r="F2363" s="11" t="s">
        <v>7058</v>
      </c>
      <c r="G2363" s="12"/>
      <c r="H2363" s="12"/>
      <c r="I2363" s="13">
        <v>0</v>
      </c>
      <c r="J2363" s="13">
        <v>0</v>
      </c>
      <c r="K2363" s="14" t="str">
        <f t="shared" ref="K2363:K2364" si="503">HYPERLINK("http://twitter.com","Twitter Web Client")</f>
        <v>Twitter Web Client</v>
      </c>
      <c r="L2363" s="13">
        <v>17966</v>
      </c>
      <c r="M2363" s="13">
        <v>654</v>
      </c>
      <c r="N2363" s="13">
        <v>352</v>
      </c>
      <c r="O2363" s="18" t="s">
        <v>36</v>
      </c>
      <c r="P2363" s="6">
        <v>42089.415439814809</v>
      </c>
      <c r="Q2363" s="12"/>
      <c r="R2363" s="17" t="s">
        <v>3447</v>
      </c>
      <c r="S2363" s="11" t="s">
        <v>3448</v>
      </c>
      <c r="T2363" s="12"/>
      <c r="U2363" s="10" t="str">
        <f>HYPERLINK("https://pbs.twimg.com/profile_images/780431237555032064/H6v83dkC.jpg","View")</f>
        <v>View</v>
      </c>
    </row>
    <row r="2364" spans="1:21" ht="61.2">
      <c r="A2364" s="6">
        <v>43424.371550925927</v>
      </c>
      <c r="B2364" s="7" t="str">
        <f>HYPERLINK("https://twitter.com/pakaletes","@pakaletes")</f>
        <v>@pakaletes</v>
      </c>
      <c r="C2364" s="8" t="s">
        <v>3489</v>
      </c>
      <c r="D2364" s="9" t="s">
        <v>5883</v>
      </c>
      <c r="E2364" s="10" t="str">
        <f>HYPERLINK("https://twitter.com/pakaletes/status/1064789199084298240","1064789199084298240")</f>
        <v>1064789199084298240</v>
      </c>
      <c r="F2364" s="12"/>
      <c r="G2364" s="12"/>
      <c r="H2364" s="12"/>
      <c r="I2364" s="13">
        <v>0</v>
      </c>
      <c r="J2364" s="13">
        <v>0</v>
      </c>
      <c r="K2364" s="14" t="str">
        <f t="shared" si="503"/>
        <v>Twitter Web Client</v>
      </c>
      <c r="L2364" s="13">
        <v>389</v>
      </c>
      <c r="M2364" s="13">
        <v>1174</v>
      </c>
      <c r="N2364" s="13">
        <v>2</v>
      </c>
      <c r="O2364" s="15"/>
      <c r="P2364" s="6">
        <v>40461.966527777782</v>
      </c>
      <c r="Q2364" s="16" t="s">
        <v>3493</v>
      </c>
      <c r="R2364" s="19"/>
      <c r="S2364" s="11" t="s">
        <v>3494</v>
      </c>
      <c r="T2364" s="12"/>
      <c r="U2364" s="10" t="str">
        <f>HYPERLINK("https://pbs.twimg.com/profile_images/875095547060920321/keUgmUaK.jpg","View")</f>
        <v>View</v>
      </c>
    </row>
    <row r="2365" spans="1:21" ht="40.799999999999997">
      <c r="A2365" s="6">
        <v>43424.367743055554</v>
      </c>
      <c r="B2365" s="7" t="str">
        <f t="shared" ref="B2365:B2366" si="504">HYPERLINK("https://twitter.com/MONTESQUIEU1956","@MONTESQUIEU1956")</f>
        <v>@MONTESQUIEU1956</v>
      </c>
      <c r="C2365" s="8" t="s">
        <v>7784</v>
      </c>
      <c r="D2365" s="9" t="s">
        <v>7603</v>
      </c>
      <c r="E2365" s="10" t="str">
        <f>HYPERLINK("https://twitter.com/MONTESQUIEU1956/status/1064787820139724801","1064787820139724801")</f>
        <v>1064787820139724801</v>
      </c>
      <c r="F2365" s="11" t="s">
        <v>7058</v>
      </c>
      <c r="G2365" s="12"/>
      <c r="H2365" s="12"/>
      <c r="I2365" s="13">
        <v>0</v>
      </c>
      <c r="J2365" s="13">
        <v>0</v>
      </c>
      <c r="K2365" s="14" t="str">
        <f>HYPERLINK("http://www.facebook.com/twitter","Facebook")</f>
        <v>Facebook</v>
      </c>
      <c r="L2365" s="13">
        <v>17000</v>
      </c>
      <c r="M2365" s="13">
        <v>18431</v>
      </c>
      <c r="N2365" s="13">
        <v>498</v>
      </c>
      <c r="O2365" s="15"/>
      <c r="P2365" s="6">
        <v>40349.826168981483</v>
      </c>
      <c r="Q2365" s="16" t="s">
        <v>7785</v>
      </c>
      <c r="R2365" s="17" t="s">
        <v>7786</v>
      </c>
      <c r="S2365" s="11" t="s">
        <v>7787</v>
      </c>
      <c r="T2365" s="12"/>
      <c r="U2365" s="10" t="str">
        <f t="shared" ref="U2365:U2366" si="505">HYPERLINK("https://pbs.twimg.com/profile_images/1261600286/MONTESQUIEU.jpg","View")</f>
        <v>View</v>
      </c>
    </row>
    <row r="2366" spans="1:21" ht="40.799999999999997">
      <c r="A2366" s="6">
        <v>43424.3674537037</v>
      </c>
      <c r="B2366" s="7" t="str">
        <f t="shared" si="504"/>
        <v>@MONTESQUIEU1956</v>
      </c>
      <c r="C2366" s="8" t="s">
        <v>7784</v>
      </c>
      <c r="D2366" s="9" t="s">
        <v>7684</v>
      </c>
      <c r="E2366" s="10" t="str">
        <f>HYPERLINK("https://twitter.com/MONTESQUIEU1956/status/1064787714166394880","1064787714166394880")</f>
        <v>1064787714166394880</v>
      </c>
      <c r="F2366" s="11" t="s">
        <v>7058</v>
      </c>
      <c r="G2366" s="12"/>
      <c r="H2366" s="12"/>
      <c r="I2366" s="13">
        <v>0</v>
      </c>
      <c r="J2366" s="13">
        <v>0</v>
      </c>
      <c r="K2366" s="14" t="str">
        <f>HYPERLINK("http://twitter.com","Twitter Web Client")</f>
        <v>Twitter Web Client</v>
      </c>
      <c r="L2366" s="13">
        <v>17000</v>
      </c>
      <c r="M2366" s="13">
        <v>18431</v>
      </c>
      <c r="N2366" s="13">
        <v>498</v>
      </c>
      <c r="O2366" s="15"/>
      <c r="P2366" s="6">
        <v>40349.826168981483</v>
      </c>
      <c r="Q2366" s="16" t="s">
        <v>7785</v>
      </c>
      <c r="R2366" s="17" t="s">
        <v>7786</v>
      </c>
      <c r="S2366" s="11" t="s">
        <v>7787</v>
      </c>
      <c r="T2366" s="12"/>
      <c r="U2366" s="10" t="str">
        <f t="shared" si="505"/>
        <v>View</v>
      </c>
    </row>
    <row r="2367" spans="1:21" ht="71.400000000000006">
      <c r="A2367" s="6">
        <v>43424.367384259254</v>
      </c>
      <c r="B2367" s="7" t="str">
        <f>HYPERLINK("https://twitter.com/LTusell","@LTusell")</f>
        <v>@LTusell</v>
      </c>
      <c r="C2367" s="8" t="s">
        <v>5884</v>
      </c>
      <c r="D2367" s="9" t="s">
        <v>5885</v>
      </c>
      <c r="E2367" s="10" t="str">
        <f>HYPERLINK("https://twitter.com/LTusell/status/1064787690569240576","1064787690569240576")</f>
        <v>1064787690569240576</v>
      </c>
      <c r="F2367" s="11" t="s">
        <v>5886</v>
      </c>
      <c r="G2367" s="11" t="s">
        <v>5887</v>
      </c>
      <c r="H2367" s="12"/>
      <c r="I2367" s="13">
        <v>0</v>
      </c>
      <c r="J2367" s="13">
        <v>0</v>
      </c>
      <c r="K2367" s="14" t="str">
        <f t="shared" ref="K2367:K2368" si="506">HYPERLINK("http://twitter.com/download/iphone","Twitter for iPhone")</f>
        <v>Twitter for iPhone</v>
      </c>
      <c r="L2367" s="13">
        <v>784</v>
      </c>
      <c r="M2367" s="13">
        <v>642</v>
      </c>
      <c r="N2367" s="13">
        <v>39</v>
      </c>
      <c r="O2367" s="15"/>
      <c r="P2367" s="6">
        <v>40786.744814814811</v>
      </c>
      <c r="Q2367" s="16" t="s">
        <v>75</v>
      </c>
      <c r="R2367" s="17" t="s">
        <v>5888</v>
      </c>
      <c r="S2367" s="11" t="s">
        <v>5889</v>
      </c>
      <c r="T2367" s="12"/>
      <c r="U2367" s="10" t="str">
        <f>HYPERLINK("https://pbs.twimg.com/profile_images/648816603468034048/g_XUIU6W.jpg","View")</f>
        <v>View</v>
      </c>
    </row>
    <row r="2368" spans="1:21" ht="112.2">
      <c r="A2368" s="6">
        <v>43424.366851851853</v>
      </c>
      <c r="B2368" s="7" t="str">
        <f>HYPERLINK("https://twitter.com/besab15","@besab15")</f>
        <v>@besab15</v>
      </c>
      <c r="C2368" s="8" t="s">
        <v>7788</v>
      </c>
      <c r="D2368" s="9" t="s">
        <v>7789</v>
      </c>
      <c r="E2368" s="10" t="str">
        <f>HYPERLINK("https://twitter.com/besab15/status/1064787496763039744","1064787496763039744")</f>
        <v>1064787496763039744</v>
      </c>
      <c r="F2368" s="16" t="s">
        <v>7790</v>
      </c>
      <c r="G2368" s="12"/>
      <c r="H2368" s="12"/>
      <c r="I2368" s="13">
        <v>0</v>
      </c>
      <c r="J2368" s="13">
        <v>3</v>
      </c>
      <c r="K2368" s="14" t="str">
        <f t="shared" si="506"/>
        <v>Twitter for iPhone</v>
      </c>
      <c r="L2368" s="13">
        <v>74</v>
      </c>
      <c r="M2368" s="13">
        <v>402</v>
      </c>
      <c r="N2368" s="13">
        <v>0</v>
      </c>
      <c r="O2368" s="15"/>
      <c r="P2368" s="6">
        <v>43036.981944444444</v>
      </c>
      <c r="Q2368" s="16" t="s">
        <v>7791</v>
      </c>
      <c r="R2368" s="19"/>
      <c r="S2368" s="12"/>
      <c r="T2368" s="12"/>
      <c r="U2368" s="10" t="str">
        <f>HYPERLINK("https://pbs.twimg.com/profile_images/924398524434919424/nPSPfO_H.jpg","View")</f>
        <v>View</v>
      </c>
    </row>
    <row r="2369" spans="1:21" ht="20.399999999999999">
      <c r="A2369" s="6">
        <v>43424.360509259262</v>
      </c>
      <c r="B2369" s="7" t="str">
        <f>HYPERLINK("https://twitter.com/MISTER_L83","@MISTER_L83")</f>
        <v>@MISTER_L83</v>
      </c>
      <c r="C2369" s="8" t="s">
        <v>7792</v>
      </c>
      <c r="D2369" s="9" t="s">
        <v>7684</v>
      </c>
      <c r="E2369" s="10" t="str">
        <f>HYPERLINK("https://twitter.com/MISTER_L83/status/1064785195923066880","1064785195923066880")</f>
        <v>1064785195923066880</v>
      </c>
      <c r="F2369" s="11" t="s">
        <v>7058</v>
      </c>
      <c r="G2369" s="12"/>
      <c r="H2369" s="12"/>
      <c r="I2369" s="13">
        <v>0</v>
      </c>
      <c r="J2369" s="13">
        <v>0</v>
      </c>
      <c r="K2369" s="14" t="str">
        <f>HYPERLINK("http://twitter.com/download/android","Twitter for Android")</f>
        <v>Twitter for Android</v>
      </c>
      <c r="L2369" s="13">
        <v>1670</v>
      </c>
      <c r="M2369" s="13">
        <v>5000</v>
      </c>
      <c r="N2369" s="13">
        <v>7</v>
      </c>
      <c r="O2369" s="15"/>
      <c r="P2369" s="6">
        <v>41579.434652777782</v>
      </c>
      <c r="Q2369" s="12"/>
      <c r="R2369" s="17" t="s">
        <v>7793</v>
      </c>
      <c r="S2369" s="12"/>
      <c r="T2369" s="12"/>
      <c r="U2369" s="10" t="str">
        <f>HYPERLINK("https://pbs.twimg.com/profile_images/1038482645137743874/Q855CnSv.jpg","View")</f>
        <v>View</v>
      </c>
    </row>
    <row r="2370" spans="1:21" ht="20.399999999999999">
      <c r="A2370" s="6">
        <v>43424.359525462962</v>
      </c>
      <c r="B2370" s="7" t="str">
        <f>HYPERLINK("https://twitter.com/vdiazm1_diaz","@vdiazm1_diaz")</f>
        <v>@vdiazm1_diaz</v>
      </c>
      <c r="C2370" s="8" t="s">
        <v>5203</v>
      </c>
      <c r="D2370" s="9" t="s">
        <v>7684</v>
      </c>
      <c r="E2370" s="10" t="str">
        <f>HYPERLINK("https://twitter.com/vdiazm1_diaz/status/1064784842339090432","1064784842339090432")</f>
        <v>1064784842339090432</v>
      </c>
      <c r="F2370" s="11" t="s">
        <v>7058</v>
      </c>
      <c r="G2370" s="12"/>
      <c r="H2370" s="12"/>
      <c r="I2370" s="13">
        <v>0</v>
      </c>
      <c r="J2370" s="13">
        <v>0</v>
      </c>
      <c r="K2370" s="14" t="str">
        <f t="shared" ref="K2370:K2371" si="507">HYPERLINK("http://twitter.com","Twitter Web Client")</f>
        <v>Twitter Web Client</v>
      </c>
      <c r="L2370" s="13">
        <v>247</v>
      </c>
      <c r="M2370" s="13">
        <v>749</v>
      </c>
      <c r="N2370" s="13">
        <v>4</v>
      </c>
      <c r="O2370" s="15"/>
      <c r="P2370" s="6">
        <v>41249.679791666669</v>
      </c>
      <c r="Q2370" s="16" t="s">
        <v>1796</v>
      </c>
      <c r="R2370" s="19"/>
      <c r="S2370" s="12"/>
      <c r="T2370" s="12"/>
      <c r="U2370" s="10" t="str">
        <f>HYPERLINK("https://pbs.twimg.com/profile_images/3064758577/4c08a7e2ae9b38632be10321609a9233.jpeg","View")</f>
        <v>View</v>
      </c>
    </row>
    <row r="2371" spans="1:21" ht="40.799999999999997">
      <c r="A2371" s="6">
        <v>43424.358749999999</v>
      </c>
      <c r="B2371" s="7" t="str">
        <f>HYPERLINK("https://twitter.com/CiudadanosCs","@CiudadanosCs")</f>
        <v>@CiudadanosCs</v>
      </c>
      <c r="C2371" s="8" t="s">
        <v>196</v>
      </c>
      <c r="D2371" s="9" t="s">
        <v>5893</v>
      </c>
      <c r="E2371" s="10" t="str">
        <f>HYPERLINK("https://twitter.com/CiudadanosCs/status/1064784560255311872","1064784560255311872")</f>
        <v>1064784560255311872</v>
      </c>
      <c r="F2371" s="11" t="s">
        <v>5894</v>
      </c>
      <c r="G2371" s="11" t="s">
        <v>5895</v>
      </c>
      <c r="H2371" s="12"/>
      <c r="I2371" s="13">
        <v>85</v>
      </c>
      <c r="J2371" s="13">
        <v>125</v>
      </c>
      <c r="K2371" s="14" t="str">
        <f t="shared" si="507"/>
        <v>Twitter Web Client</v>
      </c>
      <c r="L2371" s="13">
        <v>486503</v>
      </c>
      <c r="M2371" s="13">
        <v>93653</v>
      </c>
      <c r="N2371" s="13">
        <v>3318</v>
      </c>
      <c r="O2371" s="18" t="s">
        <v>36</v>
      </c>
      <c r="P2371" s="6">
        <v>39828.753460648149</v>
      </c>
      <c r="Q2371" s="16" t="s">
        <v>37</v>
      </c>
      <c r="R2371" s="17" t="s">
        <v>202</v>
      </c>
      <c r="S2371" s="11" t="s">
        <v>203</v>
      </c>
      <c r="T2371" s="12"/>
      <c r="U2371" s="10" t="str">
        <f>HYPERLINK("https://pbs.twimg.com/profile_images/1053554096161075200/1z77_zBZ.jpg","View")</f>
        <v>View</v>
      </c>
    </row>
    <row r="2372" spans="1:21" ht="20.399999999999999">
      <c r="A2372" s="6">
        <v>43424.352060185185</v>
      </c>
      <c r="B2372" s="7" t="str">
        <f>HYPERLINK("https://twitter.com/Piar47881710","@Piar47881710")</f>
        <v>@Piar47881710</v>
      </c>
      <c r="C2372" s="8" t="s">
        <v>7794</v>
      </c>
      <c r="D2372" s="9" t="s">
        <v>7603</v>
      </c>
      <c r="E2372" s="10" t="str">
        <f>HYPERLINK("https://twitter.com/Piar47881710/status/1064782137625317376","1064782137625317376")</f>
        <v>1064782137625317376</v>
      </c>
      <c r="F2372" s="11" t="s">
        <v>7511</v>
      </c>
      <c r="G2372" s="12"/>
      <c r="H2372" s="12"/>
      <c r="I2372" s="13">
        <v>0</v>
      </c>
      <c r="J2372" s="13">
        <v>0</v>
      </c>
      <c r="K2372" s="14" t="str">
        <f>HYPERLINK("http://twitter.com/download/android","Twitter for Android")</f>
        <v>Twitter for Android</v>
      </c>
      <c r="L2372" s="13">
        <v>1366</v>
      </c>
      <c r="M2372" s="13">
        <v>2758</v>
      </c>
      <c r="N2372" s="13">
        <v>1</v>
      </c>
      <c r="O2372" s="15"/>
      <c r="P2372" s="6">
        <v>43089.776655092588</v>
      </c>
      <c r="Q2372" s="16" t="s">
        <v>7795</v>
      </c>
      <c r="R2372" s="17" t="s">
        <v>7796</v>
      </c>
      <c r="S2372" s="12"/>
      <c r="T2372" s="12"/>
      <c r="U2372" s="10" t="str">
        <f>HYPERLINK("https://pbs.twimg.com/profile_images/1014169669513641986/9EjmXuNz.jpg","View")</f>
        <v>View</v>
      </c>
    </row>
    <row r="2373" spans="1:21" ht="40.799999999999997">
      <c r="A2373" s="6">
        <v>43424.347685185188</v>
      </c>
      <c r="B2373" s="7" t="str">
        <f>HYPERLINK("https://twitter.com/jmfrancas","@jmfrancas")</f>
        <v>@jmfrancas</v>
      </c>
      <c r="C2373" s="8" t="s">
        <v>7797</v>
      </c>
      <c r="D2373" s="9" t="s">
        <v>7684</v>
      </c>
      <c r="E2373" s="10" t="str">
        <f>HYPERLINK("https://twitter.com/jmfrancas/status/1064780550693679104","1064780550693679104")</f>
        <v>1064780550693679104</v>
      </c>
      <c r="F2373" s="11" t="s">
        <v>7058</v>
      </c>
      <c r="G2373" s="12"/>
      <c r="H2373" s="12"/>
      <c r="I2373" s="13">
        <v>0</v>
      </c>
      <c r="J2373" s="13">
        <v>0</v>
      </c>
      <c r="K2373" s="14" t="str">
        <f t="shared" ref="K2373:K2374" si="508">HYPERLINK("http://twitter.com","Twitter Web Client")</f>
        <v>Twitter Web Client</v>
      </c>
      <c r="L2373" s="13">
        <v>2769</v>
      </c>
      <c r="M2373" s="13">
        <v>1556</v>
      </c>
      <c r="N2373" s="13">
        <v>77</v>
      </c>
      <c r="O2373" s="15"/>
      <c r="P2373" s="6">
        <v>40638.560798611114</v>
      </c>
      <c r="Q2373" s="16" t="s">
        <v>37</v>
      </c>
      <c r="R2373" s="17" t="s">
        <v>7798</v>
      </c>
      <c r="S2373" s="11" t="s">
        <v>7799</v>
      </c>
      <c r="T2373" s="12"/>
      <c r="U2373" s="10" t="str">
        <f>HYPERLINK("https://pbs.twimg.com/profile_images/1300700085/josep-maria-francas.jpg","View")</f>
        <v>View</v>
      </c>
    </row>
    <row r="2374" spans="1:21" ht="20.399999999999999">
      <c r="A2374" s="6">
        <v>43424.345266203702</v>
      </c>
      <c r="B2374" s="7" t="str">
        <f>HYPERLINK("https://twitter.com/Eugenio63098874","@Eugenio63098874")</f>
        <v>@Eugenio63098874</v>
      </c>
      <c r="C2374" s="8" t="s">
        <v>2934</v>
      </c>
      <c r="D2374" s="9" t="s">
        <v>7684</v>
      </c>
      <c r="E2374" s="10" t="str">
        <f>HYPERLINK("https://twitter.com/Eugenio63098874/status/1064779675430526977","1064779675430526977")</f>
        <v>1064779675430526977</v>
      </c>
      <c r="F2374" s="11" t="s">
        <v>7058</v>
      </c>
      <c r="G2374" s="12"/>
      <c r="H2374" s="12"/>
      <c r="I2374" s="13">
        <v>0</v>
      </c>
      <c r="J2374" s="13">
        <v>0</v>
      </c>
      <c r="K2374" s="14" t="str">
        <f t="shared" si="508"/>
        <v>Twitter Web Client</v>
      </c>
      <c r="L2374" s="13">
        <v>22</v>
      </c>
      <c r="M2374" s="13">
        <v>318</v>
      </c>
      <c r="N2374" s="13">
        <v>0</v>
      </c>
      <c r="O2374" s="15"/>
      <c r="P2374" s="6">
        <v>43189.665138888886</v>
      </c>
      <c r="Q2374" s="12"/>
      <c r="R2374" s="19"/>
      <c r="S2374" s="12"/>
      <c r="T2374" s="12"/>
      <c r="U2374" s="10" t="str">
        <f>HYPERLINK("https://pbs.twimg.com/profile_images/1044637518631710720/L1M74q26.jpg","View")</f>
        <v>View</v>
      </c>
    </row>
    <row r="2375" spans="1:21" ht="51">
      <c r="A2375" s="6">
        <v>43424.343877314815</v>
      </c>
      <c r="B2375" s="7" t="str">
        <f>HYPERLINK("https://twitter.com/antoniocaro","@antoniocaro")</f>
        <v>@antoniocaro</v>
      </c>
      <c r="C2375" s="8" t="s">
        <v>5896</v>
      </c>
      <c r="D2375" s="9" t="s">
        <v>5897</v>
      </c>
      <c r="E2375" s="10" t="str">
        <f>HYPERLINK("https://twitter.com/antoniocaro/status/1064779170889326592","1064779170889326592")</f>
        <v>1064779170889326592</v>
      </c>
      <c r="F2375" s="12"/>
      <c r="G2375" s="11" t="s">
        <v>5900</v>
      </c>
      <c r="H2375" s="12"/>
      <c r="I2375" s="13">
        <v>0</v>
      </c>
      <c r="J2375" s="13">
        <v>0</v>
      </c>
      <c r="K2375" s="14" t="str">
        <f>HYPERLINK("http://twitter.com/download/android","Twitter for Android")</f>
        <v>Twitter for Android</v>
      </c>
      <c r="L2375" s="13">
        <v>108</v>
      </c>
      <c r="M2375" s="13">
        <v>183</v>
      </c>
      <c r="N2375" s="13">
        <v>4</v>
      </c>
      <c r="O2375" s="15"/>
      <c r="P2375" s="6">
        <v>40012.907048611109</v>
      </c>
      <c r="Q2375" s="16" t="s">
        <v>5901</v>
      </c>
      <c r="R2375" s="17" t="s">
        <v>5902</v>
      </c>
      <c r="S2375" s="12"/>
      <c r="T2375" s="12"/>
      <c r="U2375" s="10" t="str">
        <f>HYPERLINK("https://pbs.twimg.com/profile_images/954485719870959616/KPLqN6MP.jpg","View")</f>
        <v>View</v>
      </c>
    </row>
    <row r="2376" spans="1:21" ht="40.799999999999997">
      <c r="A2376" s="6">
        <v>43424.342719907407</v>
      </c>
      <c r="B2376" s="7" t="str">
        <f>HYPERLINK("https://twitter.com/NemesisSXX","@NemesisSXX")</f>
        <v>@NemesisSXX</v>
      </c>
      <c r="C2376" s="8" t="s">
        <v>7800</v>
      </c>
      <c r="D2376" s="9" t="s">
        <v>7684</v>
      </c>
      <c r="E2376" s="10" t="str">
        <f>HYPERLINK("https://twitter.com/NemesisSXX/status/1064778751425331201","1064778751425331201")</f>
        <v>1064778751425331201</v>
      </c>
      <c r="F2376" s="11" t="s">
        <v>7058</v>
      </c>
      <c r="G2376" s="12"/>
      <c r="H2376" s="12"/>
      <c r="I2376" s="13">
        <v>0</v>
      </c>
      <c r="J2376" s="13">
        <v>0</v>
      </c>
      <c r="K2376" s="14" t="str">
        <f>HYPERLINK("http://twitter.com","Twitter Web Client")</f>
        <v>Twitter Web Client</v>
      </c>
      <c r="L2376" s="13">
        <v>145</v>
      </c>
      <c r="M2376" s="13">
        <v>185</v>
      </c>
      <c r="N2376" s="13">
        <v>3</v>
      </c>
      <c r="O2376" s="15"/>
      <c r="P2376" s="6">
        <v>41804.743564814817</v>
      </c>
      <c r="Q2376" s="12"/>
      <c r="R2376" s="17" t="s">
        <v>7801</v>
      </c>
      <c r="S2376" s="12"/>
      <c r="T2376" s="12"/>
      <c r="U2376" s="18" t="s">
        <v>559</v>
      </c>
    </row>
    <row r="2377" spans="1:21" ht="20.399999999999999">
      <c r="A2377" s="6">
        <v>43424.341226851851</v>
      </c>
      <c r="B2377" s="7" t="str">
        <f>HYPERLINK("https://twitter.com/rmolinagds","@rmolinagds")</f>
        <v>@rmolinagds</v>
      </c>
      <c r="C2377" s="8" t="s">
        <v>2531</v>
      </c>
      <c r="D2377" s="9" t="s">
        <v>5904</v>
      </c>
      <c r="E2377" s="10" t="str">
        <f>HYPERLINK("https://twitter.com/rmolinagds/status/1064778209470963712","1064778209470963712")</f>
        <v>1064778209470963712</v>
      </c>
      <c r="F2377" s="11" t="s">
        <v>5905</v>
      </c>
      <c r="G2377" s="12"/>
      <c r="H2377" s="12"/>
      <c r="I2377" s="13">
        <v>0</v>
      </c>
      <c r="J2377" s="13">
        <v>0</v>
      </c>
      <c r="K2377" s="14" t="str">
        <f>HYPERLINK("http://twitter.com/download/android","Twitter for Android")</f>
        <v>Twitter for Android</v>
      </c>
      <c r="L2377" s="13">
        <v>395</v>
      </c>
      <c r="M2377" s="13">
        <v>896</v>
      </c>
      <c r="N2377" s="13">
        <v>6</v>
      </c>
      <c r="O2377" s="15"/>
      <c r="P2377" s="6">
        <v>41161.762615740743</v>
      </c>
      <c r="Q2377" s="16" t="s">
        <v>2536</v>
      </c>
      <c r="R2377" s="17" t="s">
        <v>2537</v>
      </c>
      <c r="S2377" s="12"/>
      <c r="T2377" s="12"/>
      <c r="U2377" s="10" t="str">
        <f>HYPERLINK("https://pbs.twimg.com/profile_images/2593042732/gv88z7h1ih9f2ozfm8zt.jpeg","View")</f>
        <v>View</v>
      </c>
    </row>
    <row r="2378" spans="1:21" ht="40.799999999999997">
      <c r="A2378" s="6">
        <v>43424.340428240743</v>
      </c>
      <c r="B2378" s="7" t="str">
        <f>HYPERLINK("https://twitter.com/cultrun","@cultrun")</f>
        <v>@cultrun</v>
      </c>
      <c r="C2378" s="8" t="s">
        <v>7802</v>
      </c>
      <c r="D2378" s="9" t="s">
        <v>7684</v>
      </c>
      <c r="E2378" s="10" t="str">
        <f>HYPERLINK("https://twitter.com/cultrun/status/1064777922232442880","1064777922232442880")</f>
        <v>1064777922232442880</v>
      </c>
      <c r="F2378" s="11" t="s">
        <v>7058</v>
      </c>
      <c r="G2378" s="12"/>
      <c r="H2378" s="12"/>
      <c r="I2378" s="13">
        <v>1</v>
      </c>
      <c r="J2378" s="13">
        <v>1</v>
      </c>
      <c r="K2378" s="14" t="str">
        <f>HYPERLINK("http://twitter.com","Twitter Web Client")</f>
        <v>Twitter Web Client</v>
      </c>
      <c r="L2378" s="13">
        <v>48260</v>
      </c>
      <c r="M2378" s="13">
        <v>2873</v>
      </c>
      <c r="N2378" s="13">
        <v>1277</v>
      </c>
      <c r="O2378" s="15"/>
      <c r="P2378" s="6">
        <v>39861.860497685186</v>
      </c>
      <c r="Q2378" s="16" t="s">
        <v>7803</v>
      </c>
      <c r="R2378" s="17" t="s">
        <v>7804</v>
      </c>
      <c r="S2378" s="11" t="s">
        <v>7805</v>
      </c>
      <c r="T2378" s="12"/>
      <c r="U2378" s="10" t="str">
        <f>HYPERLINK("https://pbs.twimg.com/profile_images/1017450243917598720/d4pMoQHM.jpg","View")</f>
        <v>View</v>
      </c>
    </row>
    <row r="2379" spans="1:21" ht="61.2">
      <c r="A2379" s="6">
        <v>43424.336041666669</v>
      </c>
      <c r="B2379" s="7" t="str">
        <f>HYPERLINK("https://twitter.com/Albert_Rivera","@Albert_Rivera")</f>
        <v>@Albert_Rivera</v>
      </c>
      <c r="C2379" s="8" t="s">
        <v>389</v>
      </c>
      <c r="D2379" s="9" t="s">
        <v>7806</v>
      </c>
      <c r="E2379" s="10" t="str">
        <f>HYPERLINK("https://twitter.com/Albert_Rivera/status/1064776331701948419","1064776331701948419")</f>
        <v>1064776331701948419</v>
      </c>
      <c r="F2379" s="16" t="s">
        <v>7807</v>
      </c>
      <c r="G2379" s="12"/>
      <c r="H2379" s="12"/>
      <c r="I2379" s="13">
        <v>178</v>
      </c>
      <c r="J2379" s="13">
        <v>383</v>
      </c>
      <c r="K2379" s="14" t="str">
        <f>HYPERLINK("http://twitter.com/download/iphone","Twitter for iPhone")</f>
        <v>Twitter for iPhone</v>
      </c>
      <c r="L2379" s="13">
        <v>1071530</v>
      </c>
      <c r="M2379" s="13">
        <v>2545</v>
      </c>
      <c r="N2379" s="13">
        <v>5104</v>
      </c>
      <c r="O2379" s="18" t="s">
        <v>36</v>
      </c>
      <c r="P2379" s="6">
        <v>40205.748171296298</v>
      </c>
      <c r="Q2379" s="16" t="s">
        <v>37</v>
      </c>
      <c r="R2379" s="17" t="s">
        <v>393</v>
      </c>
      <c r="S2379" s="11" t="s">
        <v>394</v>
      </c>
      <c r="T2379" s="12"/>
      <c r="U2379" s="10" t="str">
        <f>HYPERLINK("https://pbs.twimg.com/profile_images/1030708936779988993/RncDM4EZ.jpg","View")</f>
        <v>View</v>
      </c>
    </row>
    <row r="2380" spans="1:21" ht="40.799999999999997">
      <c r="A2380" s="6">
        <v>43424.335833333331</v>
      </c>
      <c r="B2380" s="7" t="str">
        <f>HYPERLINK("https://twitter.com/sosciudadanos","@sosciudadanos")</f>
        <v>@sosciudadanos</v>
      </c>
      <c r="C2380" s="8" t="s">
        <v>7808</v>
      </c>
      <c r="D2380" s="9" t="s">
        <v>7809</v>
      </c>
      <c r="E2380" s="10" t="str">
        <f>HYPERLINK("https://twitter.com/sosciudadanos/status/1064776255185272832","1064776255185272832")</f>
        <v>1064776255185272832</v>
      </c>
      <c r="F2380" s="11" t="s">
        <v>7810</v>
      </c>
      <c r="G2380" s="11" t="s">
        <v>7811</v>
      </c>
      <c r="H2380" s="12"/>
      <c r="I2380" s="13">
        <v>0</v>
      </c>
      <c r="J2380" s="13">
        <v>0</v>
      </c>
      <c r="K2380" s="14" t="str">
        <f>HYPERLINK("http://tapbots.com/tweetbot","Tweetbot for iΟS")</f>
        <v>Tweetbot for iΟS</v>
      </c>
      <c r="L2380" s="13">
        <v>246</v>
      </c>
      <c r="M2380" s="13">
        <v>239</v>
      </c>
      <c r="N2380" s="13">
        <v>0</v>
      </c>
      <c r="O2380" s="15"/>
      <c r="P2380" s="6">
        <v>40502.868402777778</v>
      </c>
      <c r="Q2380" s="12"/>
      <c r="R2380" s="17" t="s">
        <v>7812</v>
      </c>
      <c r="S2380" s="12"/>
      <c r="T2380" s="12"/>
      <c r="U2380" s="10" t="str">
        <f>HYPERLINK("https://pbs.twimg.com/profile_images/1365930752/Fotolia_21253940_S.jpg","View")</f>
        <v>View</v>
      </c>
    </row>
    <row r="2381" spans="1:21" ht="40.799999999999997">
      <c r="A2381" s="6">
        <v>43424.332303240742</v>
      </c>
      <c r="B2381" s="7" t="str">
        <f>HYPERLINK("https://twitter.com/fboiza","@fboiza")</f>
        <v>@fboiza</v>
      </c>
      <c r="C2381" s="8" t="s">
        <v>7813</v>
      </c>
      <c r="D2381" s="9" t="s">
        <v>7814</v>
      </c>
      <c r="E2381" s="10" t="str">
        <f>HYPERLINK("https://twitter.com/fboiza/status/1064774977336033280","1064774977336033280")</f>
        <v>1064774977336033280</v>
      </c>
      <c r="F2381" s="11" t="s">
        <v>7815</v>
      </c>
      <c r="G2381" s="12"/>
      <c r="H2381" s="12"/>
      <c r="I2381" s="13">
        <v>0</v>
      </c>
      <c r="J2381" s="13">
        <v>0</v>
      </c>
      <c r="K2381" s="14" t="str">
        <f>HYPERLINK("http://twitter.com/download/iphone","Twitter for iPhone")</f>
        <v>Twitter for iPhone</v>
      </c>
      <c r="L2381" s="13">
        <v>1667</v>
      </c>
      <c r="M2381" s="13">
        <v>1482</v>
      </c>
      <c r="N2381" s="13">
        <v>80</v>
      </c>
      <c r="O2381" s="15"/>
      <c r="P2381" s="6">
        <v>40648.043773148151</v>
      </c>
      <c r="Q2381" s="16" t="s">
        <v>7816</v>
      </c>
      <c r="R2381" s="17" t="s">
        <v>7817</v>
      </c>
      <c r="S2381" s="11" t="s">
        <v>7818</v>
      </c>
      <c r="T2381" s="12"/>
      <c r="U2381" s="10" t="str">
        <f>HYPERLINK("https://pbs.twimg.com/profile_images/978325488178429952/dWlWVwE2.jpg","View")</f>
        <v>View</v>
      </c>
    </row>
    <row r="2382" spans="1:21" ht="102">
      <c r="A2382" s="6">
        <v>43424.328831018516</v>
      </c>
      <c r="B2382" s="7" t="str">
        <f>HYPERLINK("https://twitter.com/RuyDeClavijo","@RuyDeClavijo")</f>
        <v>@RuyDeClavijo</v>
      </c>
      <c r="C2382" s="8" t="s">
        <v>2335</v>
      </c>
      <c r="D2382" s="9" t="s">
        <v>5906</v>
      </c>
      <c r="E2382" s="10" t="str">
        <f>HYPERLINK("https://twitter.com/RuyDeClavijo/status/1064773716075298817","1064773716075298817")</f>
        <v>1064773716075298817</v>
      </c>
      <c r="F2382" s="11" t="s">
        <v>5908</v>
      </c>
      <c r="G2382" s="11" t="s">
        <v>5909</v>
      </c>
      <c r="H2382" s="12"/>
      <c r="I2382" s="13">
        <v>1</v>
      </c>
      <c r="J2382" s="13">
        <v>1</v>
      </c>
      <c r="K2382" s="14" t="str">
        <f t="shared" ref="K2382:K2383" si="509">HYPERLINK("http://twitter.com/download/android","Twitter for Android")</f>
        <v>Twitter for Android</v>
      </c>
      <c r="L2382" s="13">
        <v>15378</v>
      </c>
      <c r="M2382" s="13">
        <v>14437</v>
      </c>
      <c r="N2382" s="13">
        <v>99</v>
      </c>
      <c r="O2382" s="15"/>
      <c r="P2382" s="6">
        <v>41213.966956018521</v>
      </c>
      <c r="Q2382" s="16" t="s">
        <v>2339</v>
      </c>
      <c r="R2382" s="17" t="s">
        <v>2340</v>
      </c>
      <c r="S2382" s="12"/>
      <c r="T2382" s="12"/>
      <c r="U2382" s="10" t="str">
        <f>HYPERLINK("https://pbs.twimg.com/profile_images/1060639465062981633/hfcZ7VKB.jpg","View")</f>
        <v>View</v>
      </c>
    </row>
    <row r="2383" spans="1:21" ht="40.799999999999997">
      <c r="A2383" s="6">
        <v>43424.326701388884</v>
      </c>
      <c r="B2383" s="7" t="str">
        <f>HYPERLINK("https://twitter.com/RaulGuzzoConteG","@RaulGuzzoConteG")</f>
        <v>@RaulGuzzoConteG</v>
      </c>
      <c r="C2383" s="8" t="s">
        <v>7819</v>
      </c>
      <c r="D2383" s="9" t="s">
        <v>7820</v>
      </c>
      <c r="E2383" s="10" t="str">
        <f>HYPERLINK("https://twitter.com/RaulGuzzoConteG/status/1064772944776318976","1064772944776318976")</f>
        <v>1064772944776318976</v>
      </c>
      <c r="F2383" s="11" t="s">
        <v>7058</v>
      </c>
      <c r="G2383" s="12"/>
      <c r="H2383" s="12"/>
      <c r="I2383" s="13">
        <v>0</v>
      </c>
      <c r="J2383" s="13">
        <v>0</v>
      </c>
      <c r="K2383" s="14" t="str">
        <f t="shared" si="509"/>
        <v>Twitter for Android</v>
      </c>
      <c r="L2383" s="13">
        <v>1438</v>
      </c>
      <c r="M2383" s="13">
        <v>1566</v>
      </c>
      <c r="N2383" s="13">
        <v>30</v>
      </c>
      <c r="O2383" s="15"/>
      <c r="P2383" s="6">
        <v>41118.775000000001</v>
      </c>
      <c r="Q2383" s="16" t="s">
        <v>7429</v>
      </c>
      <c r="R2383" s="17" t="s">
        <v>7821</v>
      </c>
      <c r="S2383" s="12"/>
      <c r="T2383" s="12"/>
      <c r="U2383" s="10" t="str">
        <f>HYPERLINK("https://pbs.twimg.com/profile_images/1051558835872309249/vzyLOxGy.jpg","View")</f>
        <v>View</v>
      </c>
    </row>
    <row r="2384" spans="1:21" ht="20.399999999999999">
      <c r="A2384" s="6">
        <v>43424.321932870371</v>
      </c>
      <c r="B2384" s="7" t="str">
        <f>HYPERLINK("https://twitter.com/EnriqueBoto","@EnriqueBoto")</f>
        <v>@EnriqueBoto</v>
      </c>
      <c r="C2384" s="8" t="s">
        <v>2558</v>
      </c>
      <c r="D2384" s="9" t="s">
        <v>7684</v>
      </c>
      <c r="E2384" s="10" t="str">
        <f>HYPERLINK("https://twitter.com/EnriqueBoto/status/1064771219587809280","1064771219587809280")</f>
        <v>1064771219587809280</v>
      </c>
      <c r="F2384" s="11" t="s">
        <v>7058</v>
      </c>
      <c r="G2384" s="12"/>
      <c r="H2384" s="12"/>
      <c r="I2384" s="13">
        <v>1</v>
      </c>
      <c r="J2384" s="13">
        <v>0</v>
      </c>
      <c r="K2384" s="14" t="str">
        <f>HYPERLINK("http://twitter.com","Twitter Web Client")</f>
        <v>Twitter Web Client</v>
      </c>
      <c r="L2384" s="13">
        <v>1425</v>
      </c>
      <c r="M2384" s="13">
        <v>966</v>
      </c>
      <c r="N2384" s="13">
        <v>14</v>
      </c>
      <c r="O2384" s="15"/>
      <c r="P2384" s="6">
        <v>41575.47896990741</v>
      </c>
      <c r="Q2384" s="16" t="s">
        <v>2561</v>
      </c>
      <c r="R2384" s="17" t="s">
        <v>2562</v>
      </c>
      <c r="S2384" s="12"/>
      <c r="T2384" s="12"/>
      <c r="U2384" s="10" t="str">
        <f>HYPERLINK("https://pbs.twimg.com/profile_images/432673214150356992/k4dht69u.png","View")</f>
        <v>View</v>
      </c>
    </row>
    <row r="2385" spans="1:21" ht="30.6">
      <c r="A2385" s="6">
        <v>43424.306250000001</v>
      </c>
      <c r="B2385" s="7" t="str">
        <f>HYPERLINK("https://twitter.com/ElHuffPost","@ElHuffPost")</f>
        <v>@ElHuffPost</v>
      </c>
      <c r="C2385" s="8" t="s">
        <v>6203</v>
      </c>
      <c r="D2385" s="9" t="s">
        <v>7440</v>
      </c>
      <c r="E2385" s="10" t="str">
        <f>HYPERLINK("https://twitter.com/ElHuffPost/status/1064765533696872448","1064765533696872448")</f>
        <v>1064765533696872448</v>
      </c>
      <c r="F2385" s="11" t="s">
        <v>7481</v>
      </c>
      <c r="G2385" s="12"/>
      <c r="H2385" s="12"/>
      <c r="I2385" s="13">
        <v>1</v>
      </c>
      <c r="J2385" s="13">
        <v>9</v>
      </c>
      <c r="K2385" s="14" t="str">
        <f>HYPERLINK("https://about.twitter.com/products/tweetdeck","TweetDeck")</f>
        <v>TweetDeck</v>
      </c>
      <c r="L2385" s="13">
        <v>430325</v>
      </c>
      <c r="M2385" s="13">
        <v>1532</v>
      </c>
      <c r="N2385" s="13">
        <v>8188</v>
      </c>
      <c r="O2385" s="18" t="s">
        <v>36</v>
      </c>
      <c r="P2385" s="6">
        <v>40785.027118055557</v>
      </c>
      <c r="Q2385" s="16" t="s">
        <v>440</v>
      </c>
      <c r="R2385" s="17" t="s">
        <v>6205</v>
      </c>
      <c r="S2385" s="11" t="s">
        <v>6206</v>
      </c>
      <c r="T2385" s="12"/>
      <c r="U2385" s="10" t="str">
        <f>HYPERLINK("https://pbs.twimg.com/profile_images/921140803422089217/ETOEUOAx.jpg","View")</f>
        <v>View</v>
      </c>
    </row>
    <row r="2386" spans="1:21" ht="20.399999999999999">
      <c r="A2386" s="6">
        <v>43424.302094907413</v>
      </c>
      <c r="B2386" s="7" t="str">
        <f>HYPERLINK("https://twitter.com/SLVTB","@SLVTB")</f>
        <v>@SLVTB</v>
      </c>
      <c r="C2386" s="8" t="s">
        <v>5910</v>
      </c>
      <c r="D2386" s="9" t="s">
        <v>5911</v>
      </c>
      <c r="E2386" s="10" t="str">
        <f>HYPERLINK("https://twitter.com/SLVTB/status/1064764028290023424","1064764028290023424")</f>
        <v>1064764028290023424</v>
      </c>
      <c r="F2386" s="11" t="s">
        <v>5912</v>
      </c>
      <c r="G2386" s="12"/>
      <c r="H2386" s="12"/>
      <c r="I2386" s="13">
        <v>0</v>
      </c>
      <c r="J2386" s="13">
        <v>1</v>
      </c>
      <c r="K2386" s="14" t="str">
        <f t="shared" ref="K2386:K2387" si="510">HYPERLINK("http://twitter.com/download/iphone","Twitter for iPhone")</f>
        <v>Twitter for iPhone</v>
      </c>
      <c r="L2386" s="13">
        <v>888</v>
      </c>
      <c r="M2386" s="13">
        <v>405</v>
      </c>
      <c r="N2386" s="13">
        <v>6</v>
      </c>
      <c r="O2386" s="15"/>
      <c r="P2386" s="6">
        <v>43031.870532407411</v>
      </c>
      <c r="Q2386" s="16" t="s">
        <v>5914</v>
      </c>
      <c r="R2386" s="17" t="s">
        <v>5915</v>
      </c>
      <c r="S2386" s="12"/>
      <c r="T2386" s="12"/>
      <c r="U2386" s="10" t="str">
        <f>HYPERLINK("https://pbs.twimg.com/profile_images/985750833013907461/ANp4rjp_.jpg","View")</f>
        <v>View</v>
      </c>
    </row>
    <row r="2387" spans="1:21" ht="51">
      <c r="A2387" s="6">
        <v>43424.30096064815</v>
      </c>
      <c r="B2387" s="7" t="str">
        <f>HYPERLINK("https://twitter.com/frefog","@frefog")</f>
        <v>@frefog</v>
      </c>
      <c r="C2387" s="8" t="s">
        <v>5916</v>
      </c>
      <c r="D2387" s="9" t="s">
        <v>5917</v>
      </c>
      <c r="E2387" s="10" t="str">
        <f>HYPERLINK("https://twitter.com/frefog/status/1064763618846220288","1064763618846220288")</f>
        <v>1064763618846220288</v>
      </c>
      <c r="F2387" s="12"/>
      <c r="G2387" s="12"/>
      <c r="H2387" s="12"/>
      <c r="I2387" s="13">
        <v>0</v>
      </c>
      <c r="J2387" s="13">
        <v>0</v>
      </c>
      <c r="K2387" s="14" t="str">
        <f t="shared" si="510"/>
        <v>Twitter for iPhone</v>
      </c>
      <c r="L2387" s="13">
        <v>288</v>
      </c>
      <c r="M2387" s="13">
        <v>404</v>
      </c>
      <c r="N2387" s="13">
        <v>0</v>
      </c>
      <c r="O2387" s="15"/>
      <c r="P2387" s="6">
        <v>42843.480034722219</v>
      </c>
      <c r="Q2387" s="16" t="s">
        <v>37</v>
      </c>
      <c r="R2387" s="17" t="s">
        <v>5921</v>
      </c>
      <c r="S2387" s="11" t="s">
        <v>5922</v>
      </c>
      <c r="T2387" s="12"/>
      <c r="U2387" s="10" t="str">
        <f>HYPERLINK("https://pbs.twimg.com/profile_images/854568589566849024/7e4TTGjt.jpg","View")</f>
        <v>View</v>
      </c>
    </row>
    <row r="2388" spans="1:21" ht="30.6">
      <c r="A2388" s="6">
        <v>43424.296932870369</v>
      </c>
      <c r="B2388" s="7" t="str">
        <f>HYPERLINK("https://twitter.com/pandugar","@pandugar")</f>
        <v>@pandugar</v>
      </c>
      <c r="C2388" s="8" t="s">
        <v>7822</v>
      </c>
      <c r="D2388" s="9" t="s">
        <v>7823</v>
      </c>
      <c r="E2388" s="10" t="str">
        <f>HYPERLINK("https://twitter.com/pandugar/status/1064762157949218816","1064762157949218816")</f>
        <v>1064762157949218816</v>
      </c>
      <c r="F2388" s="11" t="s">
        <v>7058</v>
      </c>
      <c r="G2388" s="12"/>
      <c r="H2388" s="12"/>
      <c r="I2388" s="13">
        <v>0</v>
      </c>
      <c r="J2388" s="13">
        <v>0</v>
      </c>
      <c r="K2388" s="14" t="str">
        <f t="shared" ref="K2388:K2389" si="511">HYPERLINK("http://twitter.com","Twitter Web Client")</f>
        <v>Twitter Web Client</v>
      </c>
      <c r="L2388" s="13">
        <v>5658</v>
      </c>
      <c r="M2388" s="13">
        <v>2666</v>
      </c>
      <c r="N2388" s="13">
        <v>174</v>
      </c>
      <c r="O2388" s="15"/>
      <c r="P2388" s="6">
        <v>40235.372777777782</v>
      </c>
      <c r="Q2388" s="16" t="s">
        <v>7824</v>
      </c>
      <c r="R2388" s="17" t="s">
        <v>7825</v>
      </c>
      <c r="S2388" s="12"/>
      <c r="T2388" s="12"/>
      <c r="U2388" s="10" t="str">
        <f>HYPERLINK("https://pbs.twimg.com/profile_images/1065829105323646976/YfT2uJ2Q.jpg","View")</f>
        <v>View</v>
      </c>
    </row>
    <row r="2389" spans="1:21" ht="40.799999999999997">
      <c r="A2389" s="6">
        <v>43424.271331018521</v>
      </c>
      <c r="B2389" s="7" t="str">
        <f>HYPERLINK("https://twitter.com/JuanRaBethencou","@JuanRaBethencou")</f>
        <v>@JuanRaBethencou</v>
      </c>
      <c r="C2389" s="8" t="s">
        <v>1343</v>
      </c>
      <c r="D2389" s="9" t="s">
        <v>7826</v>
      </c>
      <c r="E2389" s="10" t="str">
        <f>HYPERLINK("https://twitter.com/JuanRaBethencou/status/1064752879679008769","1064752879679008769")</f>
        <v>1064752879679008769</v>
      </c>
      <c r="F2389" s="12"/>
      <c r="G2389" s="12"/>
      <c r="H2389" s="12"/>
      <c r="I2389" s="13">
        <v>0</v>
      </c>
      <c r="J2389" s="13">
        <v>0</v>
      </c>
      <c r="K2389" s="14" t="str">
        <f t="shared" si="511"/>
        <v>Twitter Web Client</v>
      </c>
      <c r="L2389" s="13">
        <v>474</v>
      </c>
      <c r="M2389" s="13">
        <v>1547</v>
      </c>
      <c r="N2389" s="13">
        <v>3</v>
      </c>
      <c r="O2389" s="15"/>
      <c r="P2389" s="6">
        <v>40476.037233796298</v>
      </c>
      <c r="Q2389" s="16" t="s">
        <v>1345</v>
      </c>
      <c r="R2389" s="17" t="s">
        <v>1346</v>
      </c>
      <c r="S2389" s="12"/>
      <c r="T2389" s="12"/>
      <c r="U2389" s="10" t="str">
        <f>HYPERLINK("https://pbs.twimg.com/profile_images/1185138173/corbata1.jpg","View")</f>
        <v>View</v>
      </c>
    </row>
    <row r="2390" spans="1:21" ht="40.799999999999997">
      <c r="A2390" s="6">
        <v>43424.26762731481</v>
      </c>
      <c r="B2390" s="7" t="str">
        <f>HYPERLINK("https://twitter.com/pepe_alvarez22","@pepe_alvarez22")</f>
        <v>@pepe_alvarez22</v>
      </c>
      <c r="C2390" s="8" t="s">
        <v>5926</v>
      </c>
      <c r="D2390" s="9" t="s">
        <v>5927</v>
      </c>
      <c r="E2390" s="10" t="str">
        <f>HYPERLINK("https://twitter.com/pepe_alvarez22/status/1064751538676162560","1064751538676162560")</f>
        <v>1064751538676162560</v>
      </c>
      <c r="F2390" s="12"/>
      <c r="G2390" s="11" t="s">
        <v>5928</v>
      </c>
      <c r="H2390" s="12"/>
      <c r="I2390" s="13">
        <v>0</v>
      </c>
      <c r="J2390" s="13">
        <v>0</v>
      </c>
      <c r="K2390" s="14" t="str">
        <f>HYPERLINK("http://twitter.com/download/android","Twitter for Android")</f>
        <v>Twitter for Android</v>
      </c>
      <c r="L2390" s="13">
        <v>73</v>
      </c>
      <c r="M2390" s="13">
        <v>292</v>
      </c>
      <c r="N2390" s="13">
        <v>2</v>
      </c>
      <c r="O2390" s="15"/>
      <c r="P2390" s="6">
        <v>41633.885312500002</v>
      </c>
      <c r="Q2390" s="16" t="s">
        <v>5929</v>
      </c>
      <c r="R2390" s="19"/>
      <c r="S2390" s="12"/>
      <c r="T2390" s="12"/>
      <c r="U2390" s="10" t="str">
        <f>HYPERLINK("https://pbs.twimg.com/profile_images/965162185394618368/F8FLLnrH.jpg","View")</f>
        <v>View</v>
      </c>
    </row>
    <row r="2391" spans="1:21" ht="40.799999999999997">
      <c r="A2391" s="6">
        <v>43424.244629629626</v>
      </c>
      <c r="B2391" s="7" t="str">
        <f>HYPERLINK("https://twitter.com/TercioHispanico","@TercioHispanico")</f>
        <v>@TercioHispanico</v>
      </c>
      <c r="C2391" s="8" t="s">
        <v>1730</v>
      </c>
      <c r="D2391" s="9" t="s">
        <v>7827</v>
      </c>
      <c r="E2391" s="10" t="str">
        <f>HYPERLINK("https://twitter.com/TercioHispanico/status/1064743205869113344","1064743205869113344")</f>
        <v>1064743205869113344</v>
      </c>
      <c r="F2391" s="11" t="s">
        <v>7828</v>
      </c>
      <c r="G2391" s="12"/>
      <c r="H2391" s="12"/>
      <c r="I2391" s="13">
        <v>0</v>
      </c>
      <c r="J2391" s="13">
        <v>0</v>
      </c>
      <c r="K2391" s="14" t="str">
        <f>HYPERLINK("https://diariorc.com","Tercio Hispánico App C")</f>
        <v>Tercio Hispánico App C</v>
      </c>
      <c r="L2391" s="13">
        <v>1463</v>
      </c>
      <c r="M2391" s="13">
        <v>1448</v>
      </c>
      <c r="N2391" s="13">
        <v>3</v>
      </c>
      <c r="O2391" s="15"/>
      <c r="P2391" s="6">
        <v>43074.817384259259</v>
      </c>
      <c r="Q2391" s="16" t="s">
        <v>37</v>
      </c>
      <c r="R2391" s="17" t="s">
        <v>1733</v>
      </c>
      <c r="S2391" s="12"/>
      <c r="T2391" s="12"/>
      <c r="U2391" s="10" t="str">
        <f>HYPERLINK("https://pbs.twimg.com/profile_images/938810411045941249/GJ1yq9OJ.jpg","View")</f>
        <v>View</v>
      </c>
    </row>
    <row r="2392" spans="1:21" ht="20.399999999999999">
      <c r="A2392" s="6">
        <v>43424.227094907408</v>
      </c>
      <c r="B2392" s="7" t="str">
        <f>HYPERLINK("https://twitter.com/JManimar","@JManimar")</f>
        <v>@JManimar</v>
      </c>
      <c r="C2392" s="8" t="s">
        <v>724</v>
      </c>
      <c r="D2392" s="9" t="s">
        <v>7829</v>
      </c>
      <c r="E2392" s="10" t="str">
        <f>HYPERLINK("https://twitter.com/JManimar/status/1064736850504503301","1064736850504503301")</f>
        <v>1064736850504503301</v>
      </c>
      <c r="F2392" s="12"/>
      <c r="G2392" s="11" t="s">
        <v>7830</v>
      </c>
      <c r="H2392" s="12"/>
      <c r="I2392" s="13">
        <v>2</v>
      </c>
      <c r="J2392" s="13">
        <v>4</v>
      </c>
      <c r="K2392" s="14" t="str">
        <f>HYPERLINK("http://twitter.com/download/android","Twitter for Android")</f>
        <v>Twitter for Android</v>
      </c>
      <c r="L2392" s="13">
        <v>3451</v>
      </c>
      <c r="M2392" s="13">
        <v>689</v>
      </c>
      <c r="N2392" s="13">
        <v>23</v>
      </c>
      <c r="O2392" s="15"/>
      <c r="P2392" s="6">
        <v>42105.753634259258</v>
      </c>
      <c r="Q2392" s="16" t="s">
        <v>727</v>
      </c>
      <c r="R2392" s="17" t="s">
        <v>728</v>
      </c>
      <c r="S2392" s="12"/>
      <c r="T2392" s="12"/>
      <c r="U2392" s="10" t="str">
        <f>HYPERLINK("https://pbs.twimg.com/profile_images/1059194425690198016/Yv3qWLHs.jpg","View")</f>
        <v>View</v>
      </c>
    </row>
    <row r="2393" spans="1:21" ht="40.799999999999997">
      <c r="A2393" s="6">
        <v>43424.22657407407</v>
      </c>
      <c r="B2393" s="7" t="str">
        <f>HYPERLINK("https://twitter.com/JaumeBarbera","@JaumeBarbera")</f>
        <v>@JaumeBarbera</v>
      </c>
      <c r="C2393" s="8" t="s">
        <v>7831</v>
      </c>
      <c r="D2393" s="9" t="s">
        <v>7814</v>
      </c>
      <c r="E2393" s="10" t="str">
        <f>HYPERLINK("https://twitter.com/JaumeBarbera/status/1064736662884884480","1064736662884884480")</f>
        <v>1064736662884884480</v>
      </c>
      <c r="F2393" s="11" t="s">
        <v>7815</v>
      </c>
      <c r="G2393" s="12"/>
      <c r="H2393" s="12"/>
      <c r="I2393" s="13">
        <v>1</v>
      </c>
      <c r="J2393" s="13">
        <v>1</v>
      </c>
      <c r="K2393" s="14" t="str">
        <f>HYPERLINK("http://twitter.com/download/iphone","Twitter for iPhone")</f>
        <v>Twitter for iPhone</v>
      </c>
      <c r="L2393" s="13">
        <v>114413</v>
      </c>
      <c r="M2393" s="13">
        <v>374</v>
      </c>
      <c r="N2393" s="13">
        <v>1448</v>
      </c>
      <c r="O2393" s="18" t="s">
        <v>36</v>
      </c>
      <c r="P2393" s="6">
        <v>40870.811701388891</v>
      </c>
      <c r="Q2393" s="16" t="s">
        <v>7832</v>
      </c>
      <c r="R2393" s="17" t="s">
        <v>7833</v>
      </c>
      <c r="S2393" s="12"/>
      <c r="T2393" s="12"/>
      <c r="U2393" s="10" t="str">
        <f>HYPERLINK("https://pbs.twimg.com/profile_images/1654131587/jAUME.jpg","View")</f>
        <v>View</v>
      </c>
    </row>
    <row r="2394" spans="1:21" ht="30.6">
      <c r="A2394" s="6">
        <v>43424.22174768518</v>
      </c>
      <c r="B2394" s="7" t="str">
        <f>HYPERLINK("https://twitter.com/e_wille","@e_wille")</f>
        <v>@e_wille</v>
      </c>
      <c r="C2394" s="8" t="s">
        <v>7834</v>
      </c>
      <c r="D2394" s="9" t="s">
        <v>7835</v>
      </c>
      <c r="E2394" s="10" t="str">
        <f>HYPERLINK("https://twitter.com/e_wille/status/1064734912262090752","1064734912262090752")</f>
        <v>1064734912262090752</v>
      </c>
      <c r="F2394" s="12"/>
      <c r="G2394" s="11" t="s">
        <v>7836</v>
      </c>
      <c r="H2394" s="12"/>
      <c r="I2394" s="13">
        <v>0</v>
      </c>
      <c r="J2394" s="13">
        <v>1</v>
      </c>
      <c r="K2394" s="14" t="str">
        <f t="shared" ref="K2394:K2397" si="512">HYPERLINK("http://twitter.com/download/android","Twitter for Android")</f>
        <v>Twitter for Android</v>
      </c>
      <c r="L2394" s="13">
        <v>2403</v>
      </c>
      <c r="M2394" s="13">
        <v>3969</v>
      </c>
      <c r="N2394" s="13">
        <v>0</v>
      </c>
      <c r="O2394" s="15"/>
      <c r="P2394" s="6">
        <v>41688.10974537037</v>
      </c>
      <c r="Q2394" s="16" t="s">
        <v>7837</v>
      </c>
      <c r="R2394" s="17" t="s">
        <v>7838</v>
      </c>
      <c r="S2394" s="12"/>
      <c r="T2394" s="12"/>
      <c r="U2394" s="10" t="str">
        <f>HYPERLINK("https://pbs.twimg.com/profile_images/999101713624657920/zRAyvrlD.jpg","View")</f>
        <v>View</v>
      </c>
    </row>
    <row r="2395" spans="1:21" ht="20.399999999999999">
      <c r="A2395" s="6">
        <v>43424.201273148152</v>
      </c>
      <c r="B2395" s="7" t="str">
        <f>HYPERLINK("https://twitter.com/LaurenArenos","@LaurenArenos")</f>
        <v>@LaurenArenos</v>
      </c>
      <c r="C2395" s="8" t="s">
        <v>1586</v>
      </c>
      <c r="D2395" s="9" t="s">
        <v>7839</v>
      </c>
      <c r="E2395" s="10" t="str">
        <f>HYPERLINK("https://twitter.com/LaurenArenos/status/1064727490411802625","1064727490411802625")</f>
        <v>1064727490411802625</v>
      </c>
      <c r="F2395" s="11" t="s">
        <v>7441</v>
      </c>
      <c r="G2395" s="12"/>
      <c r="H2395" s="12"/>
      <c r="I2395" s="13">
        <v>1</v>
      </c>
      <c r="J2395" s="13">
        <v>0</v>
      </c>
      <c r="K2395" s="14" t="str">
        <f t="shared" si="512"/>
        <v>Twitter for Android</v>
      </c>
      <c r="L2395" s="13">
        <v>844</v>
      </c>
      <c r="M2395" s="13">
        <v>1206</v>
      </c>
      <c r="N2395" s="13">
        <v>0</v>
      </c>
      <c r="O2395" s="15"/>
      <c r="P2395" s="6">
        <v>43268.977326388893</v>
      </c>
      <c r="Q2395" s="12"/>
      <c r="R2395" s="17" t="s">
        <v>1590</v>
      </c>
      <c r="S2395" s="12"/>
      <c r="T2395" s="12"/>
      <c r="U2395" s="10" t="str">
        <f>HYPERLINK("https://pbs.twimg.com/profile_images/1008462268663828480/RBvgbkmL.jpg","View")</f>
        <v>View</v>
      </c>
    </row>
    <row r="2396" spans="1:21" ht="122.4">
      <c r="A2396" s="6">
        <v>43424.198599537034</v>
      </c>
      <c r="B2396" s="7" t="str">
        <f>HYPERLINK("https://twitter.com/LuisBatteman","@LuisBatteman")</f>
        <v>@LuisBatteman</v>
      </c>
      <c r="C2396" s="8" t="s">
        <v>769</v>
      </c>
      <c r="D2396" s="9" t="s">
        <v>5930</v>
      </c>
      <c r="E2396" s="10" t="str">
        <f>HYPERLINK("https://twitter.com/LuisBatteman/status/1064726524618842112","1064726524618842112")</f>
        <v>1064726524618842112</v>
      </c>
      <c r="F2396" s="11" t="s">
        <v>5931</v>
      </c>
      <c r="G2396" s="11" t="s">
        <v>5932</v>
      </c>
      <c r="H2396" s="12"/>
      <c r="I2396" s="13">
        <v>0</v>
      </c>
      <c r="J2396" s="13">
        <v>0</v>
      </c>
      <c r="K2396" s="14" t="str">
        <f t="shared" si="512"/>
        <v>Twitter for Android</v>
      </c>
      <c r="L2396" s="13">
        <v>1731</v>
      </c>
      <c r="M2396" s="13">
        <v>2195</v>
      </c>
      <c r="N2396" s="13">
        <v>31</v>
      </c>
      <c r="O2396" s="15"/>
      <c r="P2396" s="6">
        <v>40122.007476851853</v>
      </c>
      <c r="Q2396" s="16" t="s">
        <v>774</v>
      </c>
      <c r="R2396" s="17" t="s">
        <v>775</v>
      </c>
      <c r="S2396" s="12"/>
      <c r="T2396" s="12"/>
      <c r="U2396" s="10" t="str">
        <f>HYPERLINK("https://pbs.twimg.com/profile_images/730904453025546242/36bcf-X7.jpg","View")</f>
        <v>View</v>
      </c>
    </row>
    <row r="2397" spans="1:21" ht="61.2">
      <c r="A2397" s="6">
        <v>43424.185092592597</v>
      </c>
      <c r="B2397" s="7" t="str">
        <f>HYPERLINK("https://twitter.com/Yosuneandaluz","@Yosuneandaluz")</f>
        <v>@Yosuneandaluz</v>
      </c>
      <c r="C2397" s="8" t="s">
        <v>5933</v>
      </c>
      <c r="D2397" s="9" t="s">
        <v>5934</v>
      </c>
      <c r="E2397" s="10" t="str">
        <f>HYPERLINK("https://twitter.com/Yosuneandaluz/status/1064721630193229824","1064721630193229824")</f>
        <v>1064721630193229824</v>
      </c>
      <c r="F2397" s="11" t="s">
        <v>5937</v>
      </c>
      <c r="G2397" s="12"/>
      <c r="H2397" s="12"/>
      <c r="I2397" s="13">
        <v>0</v>
      </c>
      <c r="J2397" s="13">
        <v>1</v>
      </c>
      <c r="K2397" s="14" t="str">
        <f t="shared" si="512"/>
        <v>Twitter for Android</v>
      </c>
      <c r="L2397" s="13">
        <v>3</v>
      </c>
      <c r="M2397" s="13">
        <v>54</v>
      </c>
      <c r="N2397" s="13">
        <v>0</v>
      </c>
      <c r="O2397" s="15"/>
      <c r="P2397" s="6">
        <v>41133.242719907408</v>
      </c>
      <c r="Q2397" s="16" t="s">
        <v>2687</v>
      </c>
      <c r="R2397" s="19"/>
      <c r="S2397" s="12"/>
      <c r="T2397" s="12"/>
      <c r="U2397" s="10" t="str">
        <f>HYPERLINK("https://pbs.twimg.com/profile_images/978447372278693888/-efNndb2.jpg","View")</f>
        <v>View</v>
      </c>
    </row>
    <row r="2398" spans="1:21" ht="40.799999999999997">
      <c r="A2398" s="6">
        <v>43424.179583333331</v>
      </c>
      <c r="B2398" s="7" t="str">
        <f>HYPERLINK("https://twitter.com/SEVILLECAPITAL","@SEVILLECAPITAL")</f>
        <v>@SEVILLECAPITAL</v>
      </c>
      <c r="C2398" s="8" t="s">
        <v>7840</v>
      </c>
      <c r="D2398" s="9" t="s">
        <v>7841</v>
      </c>
      <c r="E2398" s="10" t="str">
        <f>HYPERLINK("https://twitter.com/SEVILLECAPITAL/status/1064719631447937024","1064719631447937024")</f>
        <v>1064719631447937024</v>
      </c>
      <c r="F2398" s="12"/>
      <c r="G2398" s="11" t="s">
        <v>7842</v>
      </c>
      <c r="H2398" s="12"/>
      <c r="I2398" s="13">
        <v>0</v>
      </c>
      <c r="J2398" s="13">
        <v>0</v>
      </c>
      <c r="K2398" s="14" t="str">
        <f>HYPERLINK("https://mobile.twitter.com","Twitter Lite")</f>
        <v>Twitter Lite</v>
      </c>
      <c r="L2398" s="13">
        <v>2502</v>
      </c>
      <c r="M2398" s="13">
        <v>2386</v>
      </c>
      <c r="N2398" s="13">
        <v>22</v>
      </c>
      <c r="O2398" s="15"/>
      <c r="P2398" s="6">
        <v>41400.910914351851</v>
      </c>
      <c r="Q2398" s="16" t="s">
        <v>3764</v>
      </c>
      <c r="R2398" s="17" t="s">
        <v>7843</v>
      </c>
      <c r="S2398" s="12"/>
      <c r="T2398" s="12"/>
      <c r="U2398" s="10" t="str">
        <f>HYPERLINK("https://pbs.twimg.com/profile_images/765955638107205632/JdAZu1d-.jpg","View")</f>
        <v>View</v>
      </c>
    </row>
    <row r="2399" spans="1:21" ht="61.2">
      <c r="A2399" s="6">
        <v>43424.178483796291</v>
      </c>
      <c r="B2399" s="7" t="str">
        <f>HYPERLINK("https://twitter.com/Yosuneandaluz","@Yosuneandaluz")</f>
        <v>@Yosuneandaluz</v>
      </c>
      <c r="C2399" s="8" t="s">
        <v>5933</v>
      </c>
      <c r="D2399" s="9" t="s">
        <v>5939</v>
      </c>
      <c r="E2399" s="10" t="str">
        <f>HYPERLINK("https://twitter.com/Yosuneandaluz/status/1064719232913612800","1064719232913612800")</f>
        <v>1064719232913612800</v>
      </c>
      <c r="F2399" s="11" t="s">
        <v>5937</v>
      </c>
      <c r="G2399" s="12"/>
      <c r="H2399" s="12"/>
      <c r="I2399" s="13">
        <v>0</v>
      </c>
      <c r="J2399" s="13">
        <v>1</v>
      </c>
      <c r="K2399" s="14" t="str">
        <f>HYPERLINK("http://twitter.com/download/android","Twitter for Android")</f>
        <v>Twitter for Android</v>
      </c>
      <c r="L2399" s="13">
        <v>3</v>
      </c>
      <c r="M2399" s="13">
        <v>54</v>
      </c>
      <c r="N2399" s="13">
        <v>0</v>
      </c>
      <c r="O2399" s="15"/>
      <c r="P2399" s="6">
        <v>41133.242719907408</v>
      </c>
      <c r="Q2399" s="16" t="s">
        <v>2687</v>
      </c>
      <c r="R2399" s="19"/>
      <c r="S2399" s="12"/>
      <c r="T2399" s="12"/>
      <c r="U2399" s="10" t="str">
        <f>HYPERLINK("https://pbs.twimg.com/profile_images/978447372278693888/-efNndb2.jpg","View")</f>
        <v>View</v>
      </c>
    </row>
    <row r="2400" spans="1:21" ht="20.399999999999999">
      <c r="A2400" s="6">
        <v>43424.142523148148</v>
      </c>
      <c r="B2400" s="7" t="str">
        <f>HYPERLINK("https://twitter.com/karlos_rodri","@karlos_rodri")</f>
        <v>@karlos_rodri</v>
      </c>
      <c r="C2400" s="8" t="s">
        <v>7844</v>
      </c>
      <c r="D2400" s="9" t="s">
        <v>7845</v>
      </c>
      <c r="E2400" s="10" t="str">
        <f>HYPERLINK("https://twitter.com/karlos_rodri/status/1064706201005580288","1064706201005580288")</f>
        <v>1064706201005580288</v>
      </c>
      <c r="F2400" s="11" t="s">
        <v>7846</v>
      </c>
      <c r="G2400" s="12"/>
      <c r="H2400" s="12"/>
      <c r="I2400" s="13">
        <v>0</v>
      </c>
      <c r="J2400" s="13">
        <v>0</v>
      </c>
      <c r="K2400" s="14" t="str">
        <f>HYPERLINK("http://www.facebook.com/twitter","Facebook")</f>
        <v>Facebook</v>
      </c>
      <c r="L2400" s="13">
        <v>309</v>
      </c>
      <c r="M2400" s="13">
        <v>455</v>
      </c>
      <c r="N2400" s="13">
        <v>7</v>
      </c>
      <c r="O2400" s="15"/>
      <c r="P2400" s="6">
        <v>40701.97084490741</v>
      </c>
      <c r="Q2400" s="16" t="s">
        <v>7847</v>
      </c>
      <c r="R2400" s="17" t="s">
        <v>7848</v>
      </c>
      <c r="S2400" s="12"/>
      <c r="T2400" s="12"/>
      <c r="U2400" s="10" t="str">
        <f>HYPERLINK("https://pbs.twimg.com/profile_images/1016317169796304896/P2X1hWdQ.jpg","View")</f>
        <v>View</v>
      </c>
    </row>
    <row r="2401" spans="1:21" ht="30.6">
      <c r="A2401" s="6">
        <v>43424.125393518523</v>
      </c>
      <c r="B2401" s="7" t="str">
        <f>HYPERLINK("https://twitter.com/laopinioncoruna","@laopinioncoruna")</f>
        <v>@laopinioncoruna</v>
      </c>
      <c r="C2401" s="8" t="s">
        <v>7849</v>
      </c>
      <c r="D2401" s="9" t="s">
        <v>7850</v>
      </c>
      <c r="E2401" s="10" t="str">
        <f>HYPERLINK("https://twitter.com/laopinioncoruna/status/1064699994962317312","1064699994962317312")</f>
        <v>1064699994962317312</v>
      </c>
      <c r="F2401" s="11" t="s">
        <v>7851</v>
      </c>
      <c r="G2401" s="12"/>
      <c r="H2401" s="12"/>
      <c r="I2401" s="13">
        <v>0</v>
      </c>
      <c r="J2401" s="13">
        <v>0</v>
      </c>
      <c r="K2401" s="14" t="str">
        <f>HYPERLINK("https://www.hootsuite.com","Hootsuite Inc.")</f>
        <v>Hootsuite Inc.</v>
      </c>
      <c r="L2401" s="13">
        <v>27313</v>
      </c>
      <c r="M2401" s="13">
        <v>1246</v>
      </c>
      <c r="N2401" s="13">
        <v>612</v>
      </c>
      <c r="O2401" s="18" t="s">
        <v>36</v>
      </c>
      <c r="P2401" s="6">
        <v>39696.860451388886</v>
      </c>
      <c r="Q2401" s="16" t="s">
        <v>7852</v>
      </c>
      <c r="R2401" s="17" t="s">
        <v>7853</v>
      </c>
      <c r="S2401" s="11" t="s">
        <v>7854</v>
      </c>
      <c r="T2401" s="12"/>
      <c r="U2401" s="10" t="str">
        <f>HYPERLINK("https://pbs.twimg.com/profile_images/877532506110779392/yihxNpV3.jpg","View")</f>
        <v>View</v>
      </c>
    </row>
    <row r="2402" spans="1:21" ht="20.399999999999999">
      <c r="A2402" s="6">
        <v>43424.107708333337</v>
      </c>
      <c r="B2402" s="7" t="str">
        <f>HYPERLINK("https://twitter.com/amorindepe","@amorindepe")</f>
        <v>@amorindepe</v>
      </c>
      <c r="C2402" s="8" t="s">
        <v>5793</v>
      </c>
      <c r="D2402" s="9" t="s">
        <v>5940</v>
      </c>
      <c r="E2402" s="10" t="str">
        <f>HYPERLINK("https://twitter.com/amorindepe/status/1064693585113767936","1064693585113767936")</f>
        <v>1064693585113767936</v>
      </c>
      <c r="F2402" s="11" t="s">
        <v>5941</v>
      </c>
      <c r="G2402" s="12"/>
      <c r="H2402" s="12"/>
      <c r="I2402" s="13">
        <v>0</v>
      </c>
      <c r="J2402" s="13">
        <v>0</v>
      </c>
      <c r="K2402" s="14" t="str">
        <f>HYPERLINK("http://www.loveisintheair.org","LoveSongs")</f>
        <v>LoveSongs</v>
      </c>
      <c r="L2402" s="13">
        <v>4</v>
      </c>
      <c r="M2402" s="13">
        <v>0</v>
      </c>
      <c r="N2402" s="13">
        <v>0</v>
      </c>
      <c r="O2402" s="15"/>
      <c r="P2402" s="6">
        <v>43017.064756944441</v>
      </c>
      <c r="Q2402" s="12"/>
      <c r="R2402" s="19"/>
      <c r="S2402" s="12"/>
      <c r="T2402" s="12"/>
      <c r="U2402" s="10" t="str">
        <f>HYPERLINK("https://pbs.twimg.com/profile_images/917175245374742529/UdutrHy-.jpg","View")</f>
        <v>View</v>
      </c>
    </row>
    <row r="2403" spans="1:21" ht="30.6">
      <c r="A2403" s="6">
        <v>43424.069849537038</v>
      </c>
      <c r="B2403" s="7" t="str">
        <f>HYPERLINK("https://twitter.com/AguasNeutrales","@AguasNeutrales")</f>
        <v>@AguasNeutrales</v>
      </c>
      <c r="C2403" s="8" t="s">
        <v>7605</v>
      </c>
      <c r="D2403" s="9" t="s">
        <v>7440</v>
      </c>
      <c r="E2403" s="10" t="str">
        <f>HYPERLINK("https://twitter.com/AguasNeutrales/status/1064679867130789888","1064679867130789888")</f>
        <v>1064679867130789888</v>
      </c>
      <c r="F2403" s="11" t="s">
        <v>7481</v>
      </c>
      <c r="G2403" s="11" t="s">
        <v>7855</v>
      </c>
      <c r="H2403" s="12"/>
      <c r="I2403" s="13">
        <v>0</v>
      </c>
      <c r="J2403" s="13">
        <v>0</v>
      </c>
      <c r="K2403" s="14" t="str">
        <f t="shared" ref="K2403:K2404" si="513">HYPERLINK("http://twitter.com","Twitter Web Client")</f>
        <v>Twitter Web Client</v>
      </c>
      <c r="L2403" s="13">
        <v>841</v>
      </c>
      <c r="M2403" s="13">
        <v>2081</v>
      </c>
      <c r="N2403" s="13">
        <v>5</v>
      </c>
      <c r="O2403" s="15"/>
      <c r="P2403" s="6">
        <v>41802.302615740744</v>
      </c>
      <c r="Q2403" s="12"/>
      <c r="R2403" s="17" t="s">
        <v>7609</v>
      </c>
      <c r="S2403" s="12"/>
      <c r="T2403" s="12"/>
      <c r="U2403" s="10" t="str">
        <f>HYPERLINK("https://pbs.twimg.com/profile_images/1008462024282689536/Q3Z1dTgf.jpg","View")</f>
        <v>View</v>
      </c>
    </row>
    <row r="2404" spans="1:21" ht="51">
      <c r="A2404" s="6">
        <v>43424.059247685189</v>
      </c>
      <c r="B2404" s="7" t="str">
        <f>HYPERLINK("https://twitter.com/IvanTheDude","@IvanTheDude")</f>
        <v>@IvanTheDude</v>
      </c>
      <c r="C2404" s="8" t="s">
        <v>7856</v>
      </c>
      <c r="D2404" s="9" t="s">
        <v>7857</v>
      </c>
      <c r="E2404" s="10" t="str">
        <f>HYPERLINK("https://twitter.com/IvanTheDude/status/1064676022841470976","1064676022841470976")</f>
        <v>1064676022841470976</v>
      </c>
      <c r="F2404" s="16" t="s">
        <v>7858</v>
      </c>
      <c r="G2404" s="12"/>
      <c r="H2404" s="12"/>
      <c r="I2404" s="13">
        <v>1</v>
      </c>
      <c r="J2404" s="13">
        <v>0</v>
      </c>
      <c r="K2404" s="14" t="str">
        <f t="shared" si="513"/>
        <v>Twitter Web Client</v>
      </c>
      <c r="L2404" s="13">
        <v>300</v>
      </c>
      <c r="M2404" s="13">
        <v>322</v>
      </c>
      <c r="N2404" s="13">
        <v>7</v>
      </c>
      <c r="O2404" s="15"/>
      <c r="P2404" s="6">
        <v>41039.998240740737</v>
      </c>
      <c r="Q2404" s="16" t="s">
        <v>7859</v>
      </c>
      <c r="R2404" s="17" t="s">
        <v>7860</v>
      </c>
      <c r="S2404" s="11" t="s">
        <v>7861</v>
      </c>
      <c r="T2404" s="12"/>
      <c r="U2404" s="10" t="str">
        <f>HYPERLINK("https://pbs.twimg.com/profile_images/824368873948463117/YwoGkVNL.jpg","View")</f>
        <v>View</v>
      </c>
    </row>
    <row r="2405" spans="1:21" ht="51">
      <c r="A2405" s="6">
        <v>43424.047951388886</v>
      </c>
      <c r="B2405" s="7" t="str">
        <f>HYPERLINK("https://twitter.com/David_Taurino_","@David_Taurino_")</f>
        <v>@David_Taurino_</v>
      </c>
      <c r="C2405" s="8" t="s">
        <v>7862</v>
      </c>
      <c r="D2405" s="9" t="s">
        <v>7863</v>
      </c>
      <c r="E2405" s="10" t="str">
        <f>HYPERLINK("https://twitter.com/David_Taurino_/status/1064671930870050816","1064671930870050816")</f>
        <v>1064671930870050816</v>
      </c>
      <c r="F2405" s="12"/>
      <c r="G2405" s="12"/>
      <c r="H2405" s="12"/>
      <c r="I2405" s="13">
        <v>0</v>
      </c>
      <c r="J2405" s="13">
        <v>2</v>
      </c>
      <c r="K2405" s="14" t="str">
        <f t="shared" ref="K2405:K2407" si="514">HYPERLINK("http://twitter.com/download/android","Twitter for Android")</f>
        <v>Twitter for Android</v>
      </c>
      <c r="L2405" s="13">
        <v>2119</v>
      </c>
      <c r="M2405" s="13">
        <v>1263</v>
      </c>
      <c r="N2405" s="13">
        <v>12</v>
      </c>
      <c r="O2405" s="15"/>
      <c r="P2405" s="6">
        <v>41428.751979166671</v>
      </c>
      <c r="Q2405" s="16" t="s">
        <v>7864</v>
      </c>
      <c r="R2405" s="17" t="s">
        <v>7865</v>
      </c>
      <c r="S2405" s="11" t="s">
        <v>7866</v>
      </c>
      <c r="T2405" s="12"/>
      <c r="U2405" s="10" t="str">
        <f>HYPERLINK("https://pbs.twimg.com/profile_images/984890688461594624/vDPuobnM.jpg","View")</f>
        <v>View</v>
      </c>
    </row>
    <row r="2406" spans="1:21" ht="30.6">
      <c r="A2406" s="6">
        <v>43424.03743055556</v>
      </c>
      <c r="B2406" s="7" t="str">
        <f>HYPERLINK("https://twitter.com/_Soy_Subnormal_","@_Soy_Subnormal_")</f>
        <v>@_Soy_Subnormal_</v>
      </c>
      <c r="C2406" s="8" t="s">
        <v>5942</v>
      </c>
      <c r="D2406" s="9" t="s">
        <v>5943</v>
      </c>
      <c r="E2406" s="10" t="str">
        <f>HYPERLINK("https://twitter.com/_Soy_Subnormal_/status/1064668117354405888","1064668117354405888")</f>
        <v>1064668117354405888</v>
      </c>
      <c r="F2406" s="12"/>
      <c r="G2406" s="12"/>
      <c r="H2406" s="12"/>
      <c r="I2406" s="13">
        <v>0</v>
      </c>
      <c r="J2406" s="13">
        <v>1</v>
      </c>
      <c r="K2406" s="14" t="str">
        <f t="shared" si="514"/>
        <v>Twitter for Android</v>
      </c>
      <c r="L2406" s="13">
        <v>156</v>
      </c>
      <c r="M2406" s="13">
        <v>318</v>
      </c>
      <c r="N2406" s="13">
        <v>8</v>
      </c>
      <c r="O2406" s="15"/>
      <c r="P2406" s="6">
        <v>42250.639143518521</v>
      </c>
      <c r="Q2406" s="12"/>
      <c r="R2406" s="17" t="s">
        <v>5948</v>
      </c>
      <c r="S2406" s="12"/>
      <c r="T2406" s="12"/>
      <c r="U2406" s="10" t="str">
        <f>HYPERLINK("https://pbs.twimg.com/profile_images/1044294884600041472/SZlO3ERg.jpg","View")</f>
        <v>View</v>
      </c>
    </row>
    <row r="2407" spans="1:21" ht="30.6">
      <c r="A2407" s="6">
        <v>43424.030717592592</v>
      </c>
      <c r="B2407" s="7" t="str">
        <f>HYPERLINK("https://twitter.com/Lluisgjf","@Lluisgjf")</f>
        <v>@Lluisgjf</v>
      </c>
      <c r="C2407" s="8" t="s">
        <v>7867</v>
      </c>
      <c r="D2407" s="9" t="s">
        <v>7868</v>
      </c>
      <c r="E2407" s="10" t="str">
        <f>HYPERLINK("https://twitter.com/Lluisgjf/status/1064665684431552512","1064665684431552512")</f>
        <v>1064665684431552512</v>
      </c>
      <c r="F2407" s="11" t="s">
        <v>7441</v>
      </c>
      <c r="G2407" s="12"/>
      <c r="H2407" s="12"/>
      <c r="I2407" s="13">
        <v>0</v>
      </c>
      <c r="J2407" s="13">
        <v>4</v>
      </c>
      <c r="K2407" s="14" t="str">
        <f t="shared" si="514"/>
        <v>Twitter for Android</v>
      </c>
      <c r="L2407" s="13">
        <v>2314</v>
      </c>
      <c r="M2407" s="13">
        <v>5001</v>
      </c>
      <c r="N2407" s="13">
        <v>2</v>
      </c>
      <c r="O2407" s="15"/>
      <c r="P2407" s="6">
        <v>43038.765856481477</v>
      </c>
      <c r="Q2407" s="12"/>
      <c r="R2407" s="17" t="s">
        <v>7869</v>
      </c>
      <c r="S2407" s="12"/>
      <c r="T2407" s="12"/>
      <c r="U2407" s="10" t="str">
        <f>HYPERLINK("https://pbs.twimg.com/profile_images/935235309410947072/IMM4DkvI.jpg","View")</f>
        <v>View</v>
      </c>
    </row>
    <row r="2408" spans="1:21" ht="20.399999999999999">
      <c r="A2408" s="6">
        <v>43424.027731481481</v>
      </c>
      <c r="B2408" s="7" t="str">
        <f>HYPERLINK("https://twitter.com/e79bf3b8e610490","@e79bf3b8e610490")</f>
        <v>@e79bf3b8e610490</v>
      </c>
      <c r="C2408" s="8" t="s">
        <v>7870</v>
      </c>
      <c r="D2408" s="9" t="s">
        <v>7871</v>
      </c>
      <c r="E2408" s="10" t="str">
        <f>HYPERLINK("https://twitter.com/e79bf3b8e610490/status/1064664601072189440","1064664601072189440")</f>
        <v>1064664601072189440</v>
      </c>
      <c r="F2408" s="11" t="s">
        <v>7872</v>
      </c>
      <c r="G2408" s="12"/>
      <c r="H2408" s="12"/>
      <c r="I2408" s="13">
        <v>0</v>
      </c>
      <c r="J2408" s="13">
        <v>0</v>
      </c>
      <c r="K2408" s="14" t="str">
        <f>HYPERLINK("https://www.google.com/","Google")</f>
        <v>Google</v>
      </c>
      <c r="L2408" s="13">
        <v>191</v>
      </c>
      <c r="M2408" s="13">
        <v>1065</v>
      </c>
      <c r="N2408" s="13">
        <v>2</v>
      </c>
      <c r="O2408" s="15"/>
      <c r="P2408" s="6">
        <v>41828.760833333334</v>
      </c>
      <c r="Q2408" s="12"/>
      <c r="R2408" s="19"/>
      <c r="S2408" s="12"/>
      <c r="T2408" s="12"/>
      <c r="U2408" s="10" t="str">
        <f>HYPERLINK("https://pbs.twimg.com/profile_images/486560360821161984/NQJqeoBU.jpeg","View")</f>
        <v>View</v>
      </c>
    </row>
    <row r="2409" spans="1:21" ht="40.799999999999997">
      <c r="A2409" s="6">
        <v>43424.025624999995</v>
      </c>
      <c r="B2409" s="7" t="str">
        <f>HYPERLINK("https://twitter.com/PdeSamos","@PdeSamos")</f>
        <v>@PdeSamos</v>
      </c>
      <c r="C2409" s="8" t="s">
        <v>1574</v>
      </c>
      <c r="D2409" s="9" t="s">
        <v>7873</v>
      </c>
      <c r="E2409" s="10" t="str">
        <f>HYPERLINK("https://twitter.com/PdeSamos/status/1064663838870683655","1064663838870683655")</f>
        <v>1064663838870683655</v>
      </c>
      <c r="F2409" s="11" t="s">
        <v>7874</v>
      </c>
      <c r="G2409" s="12"/>
      <c r="H2409" s="12"/>
      <c r="I2409" s="13">
        <v>0</v>
      </c>
      <c r="J2409" s="13">
        <v>0</v>
      </c>
      <c r="K2409" s="14" t="str">
        <f>HYPERLINK("http://republico.ddns.net","App Libertad PdeSamos")</f>
        <v>App Libertad PdeSamos</v>
      </c>
      <c r="L2409" s="13">
        <v>5284</v>
      </c>
      <c r="M2409" s="13">
        <v>5302</v>
      </c>
      <c r="N2409" s="13">
        <v>12</v>
      </c>
      <c r="O2409" s="15"/>
      <c r="P2409" s="6">
        <v>42889.820567129631</v>
      </c>
      <c r="Q2409" s="16" t="s">
        <v>1579</v>
      </c>
      <c r="R2409" s="17" t="s">
        <v>1580</v>
      </c>
      <c r="S2409" s="12"/>
      <c r="T2409" s="12"/>
      <c r="U2409" s="10" t="str">
        <f>HYPERLINK("https://pbs.twimg.com/profile_images/871063742003511296/xK2IYbrO.jpg","View")</f>
        <v>View</v>
      </c>
    </row>
    <row r="2410" spans="1:21" ht="20.399999999999999">
      <c r="A2410" s="6">
        <v>43424.018287037034</v>
      </c>
      <c r="B2410" s="7" t="str">
        <f>HYPERLINK("https://twitter.com/PolacoSedicios","@PolacoSedicios")</f>
        <v>@PolacoSedicios</v>
      </c>
      <c r="C2410" s="8" t="s">
        <v>5950</v>
      </c>
      <c r="D2410" s="9" t="s">
        <v>5951</v>
      </c>
      <c r="E2410" s="10" t="str">
        <f>HYPERLINK("https://twitter.com/PolacoSedicios/status/1064661179472244742","1064661179472244742")</f>
        <v>1064661179472244742</v>
      </c>
      <c r="F2410" s="12"/>
      <c r="G2410" s="12"/>
      <c r="H2410" s="12"/>
      <c r="I2410" s="13">
        <v>0</v>
      </c>
      <c r="J2410" s="13">
        <v>0</v>
      </c>
      <c r="K2410" s="14" t="str">
        <f t="shared" ref="K2410:K2415" si="515">HYPERLINK("http://twitter.com/download/android","Twitter for Android")</f>
        <v>Twitter for Android</v>
      </c>
      <c r="L2410" s="13">
        <v>13</v>
      </c>
      <c r="M2410" s="13">
        <v>31</v>
      </c>
      <c r="N2410" s="13">
        <v>0</v>
      </c>
      <c r="O2410" s="15"/>
      <c r="P2410" s="6">
        <v>43423.926226851851</v>
      </c>
      <c r="Q2410" s="16" t="s">
        <v>5953</v>
      </c>
      <c r="R2410" s="17" t="s">
        <v>5954</v>
      </c>
      <c r="S2410" s="12"/>
      <c r="T2410" s="12"/>
      <c r="U2410" s="10" t="str">
        <f>HYPERLINK("https://pbs.twimg.com/profile_images/1064628788015890435/VLS6pxeZ.jpg","View")</f>
        <v>View</v>
      </c>
    </row>
    <row r="2411" spans="1:21" ht="112.2">
      <c r="A2411" s="6">
        <v>43424.015717592592</v>
      </c>
      <c r="B2411" s="7" t="str">
        <f>HYPERLINK("https://twitter.com/Emeldir8","@Emeldir8")</f>
        <v>@Emeldir8</v>
      </c>
      <c r="C2411" s="8" t="s">
        <v>5955</v>
      </c>
      <c r="D2411" s="9" t="s">
        <v>5956</v>
      </c>
      <c r="E2411" s="10" t="str">
        <f>HYPERLINK("https://twitter.com/Emeldir8/status/1064660247590113280","1064660247590113280")</f>
        <v>1064660247590113280</v>
      </c>
      <c r="F2411" s="11" t="s">
        <v>5957</v>
      </c>
      <c r="G2411" s="12"/>
      <c r="H2411" s="12"/>
      <c r="I2411" s="13">
        <v>6</v>
      </c>
      <c r="J2411" s="13">
        <v>2</v>
      </c>
      <c r="K2411" s="14" t="str">
        <f t="shared" si="515"/>
        <v>Twitter for Android</v>
      </c>
      <c r="L2411" s="13">
        <v>48</v>
      </c>
      <c r="M2411" s="13">
        <v>66</v>
      </c>
      <c r="N2411" s="13">
        <v>0</v>
      </c>
      <c r="O2411" s="15"/>
      <c r="P2411" s="6">
        <v>41400.119421296295</v>
      </c>
      <c r="Q2411" s="12"/>
      <c r="R2411" s="19"/>
      <c r="S2411" s="12"/>
      <c r="T2411" s="12"/>
      <c r="U2411" s="10" t="str">
        <f>HYPERLINK("https://pbs.twimg.com/profile_images/733081000977260544/bEaGY1Y-.jpg","View")</f>
        <v>View</v>
      </c>
    </row>
    <row r="2412" spans="1:21" ht="61.2">
      <c r="A2412" s="6">
        <v>43424.00854166667</v>
      </c>
      <c r="B2412" s="7" t="str">
        <f>HYPERLINK("https://twitter.com/coquegarcia","@coquegarcia")</f>
        <v>@coquegarcia</v>
      </c>
      <c r="C2412" s="8" t="s">
        <v>5962</v>
      </c>
      <c r="D2412" s="9" t="s">
        <v>5963</v>
      </c>
      <c r="E2412" s="10" t="str">
        <f>HYPERLINK("https://twitter.com/coquegarcia/status/1064657650783277057","1064657650783277057")</f>
        <v>1064657650783277057</v>
      </c>
      <c r="F2412" s="11" t="s">
        <v>5964</v>
      </c>
      <c r="G2412" s="11" t="s">
        <v>5887</v>
      </c>
      <c r="H2412" s="12"/>
      <c r="I2412" s="13">
        <v>1</v>
      </c>
      <c r="J2412" s="13">
        <v>1</v>
      </c>
      <c r="K2412" s="14" t="str">
        <f t="shared" si="515"/>
        <v>Twitter for Android</v>
      </c>
      <c r="L2412" s="13">
        <v>7585</v>
      </c>
      <c r="M2412" s="13">
        <v>1806</v>
      </c>
      <c r="N2412" s="13">
        <v>90</v>
      </c>
      <c r="O2412" s="15"/>
      <c r="P2412" s="6">
        <v>40050.655543981484</v>
      </c>
      <c r="Q2412" s="16" t="s">
        <v>5965</v>
      </c>
      <c r="R2412" s="17" t="s">
        <v>5966</v>
      </c>
      <c r="S2412" s="11" t="s">
        <v>5967</v>
      </c>
      <c r="T2412" s="12"/>
      <c r="U2412" s="10" t="str">
        <f>HYPERLINK("https://pbs.twimg.com/profile_images/1045394967525376000/5RnOQ6c-.jpg","View")</f>
        <v>View</v>
      </c>
    </row>
    <row r="2413" spans="1:21" ht="51">
      <c r="A2413" s="6">
        <v>43424.006956018522</v>
      </c>
      <c r="B2413" s="7" t="str">
        <f>HYPERLINK("https://twitter.com/vialesyoel","@vialesyoel")</f>
        <v>@vialesyoel</v>
      </c>
      <c r="C2413" s="8" t="s">
        <v>7875</v>
      </c>
      <c r="D2413" s="9" t="s">
        <v>7876</v>
      </c>
      <c r="E2413" s="10" t="str">
        <f>HYPERLINK("https://twitter.com/vialesyoel/status/1064657074662068224","1064657074662068224")</f>
        <v>1064657074662068224</v>
      </c>
      <c r="F2413" s="12"/>
      <c r="G2413" s="12"/>
      <c r="H2413" s="12"/>
      <c r="I2413" s="13">
        <v>1</v>
      </c>
      <c r="J2413" s="13">
        <v>0</v>
      </c>
      <c r="K2413" s="14" t="str">
        <f t="shared" si="515"/>
        <v>Twitter for Android</v>
      </c>
      <c r="L2413" s="13">
        <v>373</v>
      </c>
      <c r="M2413" s="13">
        <v>1062</v>
      </c>
      <c r="N2413" s="13">
        <v>0</v>
      </c>
      <c r="O2413" s="15"/>
      <c r="P2413" s="6">
        <v>40562.684120370366</v>
      </c>
      <c r="Q2413" s="16" t="s">
        <v>2952</v>
      </c>
      <c r="R2413" s="17" t="s">
        <v>7877</v>
      </c>
      <c r="S2413" s="12"/>
      <c r="T2413" s="12"/>
      <c r="U2413" s="10" t="str">
        <f>HYPERLINK("https://pbs.twimg.com/profile_images/884078170265329665/ADHDnit-.jpg","View")</f>
        <v>View</v>
      </c>
    </row>
    <row r="2414" spans="1:21" ht="40.799999999999997">
      <c r="A2414" s="6">
        <v>43424.005659722221</v>
      </c>
      <c r="B2414" s="7" t="str">
        <f>HYPERLINK("https://twitter.com/MarcoyMedio","@MarcoyMedio")</f>
        <v>@MarcoyMedio</v>
      </c>
      <c r="C2414" s="8" t="s">
        <v>802</v>
      </c>
      <c r="D2414" s="9" t="s">
        <v>5968</v>
      </c>
      <c r="E2414" s="10" t="str">
        <f>HYPERLINK("https://twitter.com/MarcoyMedio/status/1064656604333842433","1064656604333842433")</f>
        <v>1064656604333842433</v>
      </c>
      <c r="F2414" s="12"/>
      <c r="G2414" s="11" t="s">
        <v>5969</v>
      </c>
      <c r="H2414" s="12"/>
      <c r="I2414" s="13">
        <v>1</v>
      </c>
      <c r="J2414" s="13">
        <v>0</v>
      </c>
      <c r="K2414" s="14" t="str">
        <f t="shared" si="515"/>
        <v>Twitter for Android</v>
      </c>
      <c r="L2414" s="13">
        <v>44</v>
      </c>
      <c r="M2414" s="13">
        <v>240</v>
      </c>
      <c r="N2414" s="13">
        <v>0</v>
      </c>
      <c r="O2414" s="15"/>
      <c r="P2414" s="6">
        <v>43362.593969907408</v>
      </c>
      <c r="Q2414" s="12"/>
      <c r="R2414" s="17" t="s">
        <v>804</v>
      </c>
      <c r="S2414" s="12"/>
      <c r="T2414" s="12"/>
      <c r="U2414" s="10" t="str">
        <f>HYPERLINK("https://pbs.twimg.com/profile_images/1063219918882185216/na2-twIY.jpg","View")</f>
        <v>View</v>
      </c>
    </row>
    <row r="2415" spans="1:21" ht="61.2">
      <c r="A2415" s="6">
        <v>43424.004224537042</v>
      </c>
      <c r="B2415" s="7" t="str">
        <f>HYPERLINK("https://twitter.com/MSPE_CValencia","@MSPE_CValencia")</f>
        <v>@MSPE_CValencia</v>
      </c>
      <c r="C2415" s="8" t="s">
        <v>5970</v>
      </c>
      <c r="D2415" s="9" t="s">
        <v>5971</v>
      </c>
      <c r="E2415" s="10" t="str">
        <f>HYPERLINK("https://twitter.com/MSPE_CValencia/status/1064656083493576704","1064656083493576704")</f>
        <v>1064656083493576704</v>
      </c>
      <c r="F2415" s="12"/>
      <c r="G2415" s="11" t="s">
        <v>5972</v>
      </c>
      <c r="H2415" s="12"/>
      <c r="I2415" s="13">
        <v>7</v>
      </c>
      <c r="J2415" s="13">
        <v>8</v>
      </c>
      <c r="K2415" s="14" t="str">
        <f t="shared" si="515"/>
        <v>Twitter for Android</v>
      </c>
      <c r="L2415" s="13">
        <v>96</v>
      </c>
      <c r="M2415" s="13">
        <v>82</v>
      </c>
      <c r="N2415" s="13">
        <v>0</v>
      </c>
      <c r="O2415" s="15"/>
      <c r="P2415" s="6">
        <v>43286.634652777779</v>
      </c>
      <c r="Q2415" s="16" t="s">
        <v>4633</v>
      </c>
      <c r="R2415" s="17" t="s">
        <v>5973</v>
      </c>
      <c r="S2415" s="11" t="s">
        <v>5974</v>
      </c>
      <c r="T2415" s="12"/>
      <c r="U2415" s="10" t="str">
        <f>HYPERLINK("https://pbs.twimg.com/profile_images/1037964847441477632/X3aiAaXi.jpg","View")</f>
        <v>View</v>
      </c>
    </row>
    <row r="2416" spans="1:21" ht="40.799999999999997">
      <c r="A2416" s="6">
        <v>43424.002187499995</v>
      </c>
      <c r="B2416" s="7" t="str">
        <f>HYPERLINK("https://twitter.com/migupelo2","@migupelo2")</f>
        <v>@migupelo2</v>
      </c>
      <c r="C2416" s="8" t="s">
        <v>29</v>
      </c>
      <c r="D2416" s="9" t="s">
        <v>5977</v>
      </c>
      <c r="E2416" s="10" t="str">
        <f>HYPERLINK("https://twitter.com/migupelo2/status/1064655346080321536","1064655346080321536")</f>
        <v>1064655346080321536</v>
      </c>
      <c r="F2416" s="11" t="s">
        <v>5979</v>
      </c>
      <c r="G2416" s="12"/>
      <c r="H2416" s="12"/>
      <c r="I2416" s="13">
        <v>0</v>
      </c>
      <c r="J2416" s="13">
        <v>0</v>
      </c>
      <c r="K2416" s="14" t="str">
        <f>HYPERLINK("http://twitter.com","Twitter Web Client")</f>
        <v>Twitter Web Client</v>
      </c>
      <c r="L2416" s="13">
        <v>264</v>
      </c>
      <c r="M2416" s="13">
        <v>760</v>
      </c>
      <c r="N2416" s="13">
        <v>18</v>
      </c>
      <c r="O2416" s="15"/>
      <c r="P2416" s="6">
        <v>40477.868043981478</v>
      </c>
      <c r="Q2416" s="12"/>
      <c r="R2416" s="17" t="s">
        <v>32</v>
      </c>
      <c r="S2416" s="12"/>
      <c r="T2416" s="12"/>
      <c r="U2416" s="10" t="str">
        <f>HYPERLINK("https://pbs.twimg.com/profile_images/2906316440/4ed1570f50fd6f70f1b28d458997dd81.jpeg","View")</f>
        <v>View</v>
      </c>
    </row>
    <row r="2417" spans="1:21" ht="30.6">
      <c r="A2417" s="6">
        <v>43424.001932870371</v>
      </c>
      <c r="B2417" s="7" t="str">
        <f>HYPERLINK("https://twitter.com/ElHuffPost","@ElHuffPost")</f>
        <v>@ElHuffPost</v>
      </c>
      <c r="C2417" s="8" t="s">
        <v>6203</v>
      </c>
      <c r="D2417" s="9" t="s">
        <v>7564</v>
      </c>
      <c r="E2417" s="10" t="str">
        <f>HYPERLINK("https://twitter.com/ElHuffPost/status/1064655252622856192","1064655252622856192")</f>
        <v>1064655252622856192</v>
      </c>
      <c r="F2417" s="11" t="s">
        <v>7481</v>
      </c>
      <c r="G2417" s="12"/>
      <c r="H2417" s="12"/>
      <c r="I2417" s="13">
        <v>2</v>
      </c>
      <c r="J2417" s="13">
        <v>8</v>
      </c>
      <c r="K2417" s="14" t="str">
        <f>HYPERLINK("https://about.twitter.com/products/tweetdeck","TweetDeck")</f>
        <v>TweetDeck</v>
      </c>
      <c r="L2417" s="13">
        <v>430325</v>
      </c>
      <c r="M2417" s="13">
        <v>1532</v>
      </c>
      <c r="N2417" s="13">
        <v>8188</v>
      </c>
      <c r="O2417" s="18" t="s">
        <v>36</v>
      </c>
      <c r="P2417" s="6">
        <v>40785.027118055557</v>
      </c>
      <c r="Q2417" s="16" t="s">
        <v>440</v>
      </c>
      <c r="R2417" s="17" t="s">
        <v>6205</v>
      </c>
      <c r="S2417" s="11" t="s">
        <v>6206</v>
      </c>
      <c r="T2417" s="12"/>
      <c r="U2417" s="10" t="str">
        <f>HYPERLINK("https://pbs.twimg.com/profile_images/921140803422089217/ETOEUOAx.jpg","View")</f>
        <v>View</v>
      </c>
    </row>
    <row r="2418" spans="1:21" ht="112.2">
      <c r="A2418" s="6">
        <v>43424.000532407408</v>
      </c>
      <c r="B2418" s="7" t="str">
        <f>HYPERLINK("https://twitter.com/Emeldir8","@Emeldir8")</f>
        <v>@Emeldir8</v>
      </c>
      <c r="C2418" s="8" t="s">
        <v>5955</v>
      </c>
      <c r="D2418" s="9" t="s">
        <v>5982</v>
      </c>
      <c r="E2418" s="10" t="str">
        <f>HYPERLINK("https://twitter.com/Emeldir8/status/1064654746554904577","1064654746554904577")</f>
        <v>1064654746554904577</v>
      </c>
      <c r="F2418" s="11" t="s">
        <v>5983</v>
      </c>
      <c r="G2418" s="12"/>
      <c r="H2418" s="12"/>
      <c r="I2418" s="13">
        <v>13</v>
      </c>
      <c r="J2418" s="13">
        <v>10</v>
      </c>
      <c r="K2418" s="14" t="str">
        <f>HYPERLINK("http://twitter.com/download/android","Twitter for Android")</f>
        <v>Twitter for Android</v>
      </c>
      <c r="L2418" s="13">
        <v>48</v>
      </c>
      <c r="M2418" s="13">
        <v>66</v>
      </c>
      <c r="N2418" s="13">
        <v>0</v>
      </c>
      <c r="O2418" s="15"/>
      <c r="P2418" s="6">
        <v>41400.119421296295</v>
      </c>
      <c r="Q2418" s="12"/>
      <c r="R2418" s="19"/>
      <c r="S2418" s="12"/>
      <c r="T2418" s="12"/>
      <c r="U2418" s="10" t="str">
        <f>HYPERLINK("https://pbs.twimg.com/profile_images/733081000977260544/bEaGY1Y-.jpg","View")</f>
        <v>View</v>
      </c>
    </row>
    <row r="2419" spans="1:21" ht="20.399999999999999">
      <c r="A2419" s="6">
        <v>43424.000069444446</v>
      </c>
      <c r="B2419" s="7" t="str">
        <f>HYPERLINK("https://twitter.com/CristoFeliz1","@CristoFeliz1")</f>
        <v>@CristoFeliz1</v>
      </c>
      <c r="C2419" s="8" t="s">
        <v>7376</v>
      </c>
      <c r="D2419" s="9" t="s">
        <v>7440</v>
      </c>
      <c r="E2419" s="10" t="str">
        <f>HYPERLINK("https://twitter.com/CristoFeliz1/status/1064654576991653889","1064654576991653889")</f>
        <v>1064654576991653889</v>
      </c>
      <c r="F2419" s="11" t="s">
        <v>7878</v>
      </c>
      <c r="G2419" s="11" t="s">
        <v>7879</v>
      </c>
      <c r="H2419" s="12"/>
      <c r="I2419" s="13">
        <v>0</v>
      </c>
      <c r="J2419" s="13">
        <v>1</v>
      </c>
      <c r="K2419" s="14" t="str">
        <f>HYPERLINK("https://dlvrit.com/","dlvr.it")</f>
        <v>dlvr.it</v>
      </c>
      <c r="L2419" s="13">
        <v>7046</v>
      </c>
      <c r="M2419" s="13">
        <v>7743</v>
      </c>
      <c r="N2419" s="13">
        <v>561</v>
      </c>
      <c r="O2419" s="15"/>
      <c r="P2419" s="6">
        <v>41186.866469907407</v>
      </c>
      <c r="Q2419" s="16" t="s">
        <v>4264</v>
      </c>
      <c r="R2419" s="17" t="s">
        <v>7379</v>
      </c>
      <c r="S2419" s="12"/>
      <c r="T2419" s="12"/>
      <c r="U2419" s="10" t="str">
        <f>HYPERLINK("https://pbs.twimg.com/profile_images/1002564938911703040/1Wvxy6Jm.jpg","View")</f>
        <v>View</v>
      </c>
    </row>
    <row r="2420" spans="1:21" ht="30.6">
      <c r="A2420" s="6">
        <v>43423.999386574069</v>
      </c>
      <c r="B2420" s="7" t="str">
        <f>HYPERLINK("https://twitter.com/javigarsan","@javigarsan")</f>
        <v>@javigarsan</v>
      </c>
      <c r="C2420" s="8" t="s">
        <v>5986</v>
      </c>
      <c r="D2420" s="9" t="s">
        <v>5987</v>
      </c>
      <c r="E2420" s="10" t="str">
        <f>HYPERLINK("https://twitter.com/javigarsan/status/1064654330324807681","1064654330324807681")</f>
        <v>1064654330324807681</v>
      </c>
      <c r="F2420" s="12"/>
      <c r="G2420" s="12"/>
      <c r="H2420" s="12"/>
      <c r="I2420" s="13">
        <v>0</v>
      </c>
      <c r="J2420" s="13">
        <v>0</v>
      </c>
      <c r="K2420" s="14" t="str">
        <f>HYPERLINK("http://twitter.com/download/android","Twitter for Android")</f>
        <v>Twitter for Android</v>
      </c>
      <c r="L2420" s="13">
        <v>219</v>
      </c>
      <c r="M2420" s="13">
        <v>674</v>
      </c>
      <c r="N2420" s="13">
        <v>9</v>
      </c>
      <c r="O2420" s="15"/>
      <c r="P2420" s="6">
        <v>39749.831817129627</v>
      </c>
      <c r="Q2420" s="16" t="s">
        <v>5990</v>
      </c>
      <c r="R2420" s="17" t="s">
        <v>5991</v>
      </c>
      <c r="S2420" s="12"/>
      <c r="T2420" s="12"/>
      <c r="U2420" s="10" t="str">
        <f>HYPERLINK("https://pbs.twimg.com/profile_images/851782185161981952/zr37yzI9.jpg","View")</f>
        <v>View</v>
      </c>
    </row>
    <row r="2421" spans="1:21" ht="40.799999999999997">
      <c r="A2421" s="6">
        <v>43423.998842592591</v>
      </c>
      <c r="B2421" s="7" t="str">
        <f>HYPERLINK("https://twitter.com/migupelo2","@migupelo2")</f>
        <v>@migupelo2</v>
      </c>
      <c r="C2421" s="8" t="s">
        <v>29</v>
      </c>
      <c r="D2421" s="9" t="s">
        <v>5997</v>
      </c>
      <c r="E2421" s="10" t="str">
        <f>HYPERLINK("https://twitter.com/migupelo2/status/1064654132026490882","1064654132026490882")</f>
        <v>1064654132026490882</v>
      </c>
      <c r="F2421" s="11" t="s">
        <v>5998</v>
      </c>
      <c r="G2421" s="12"/>
      <c r="H2421" s="12"/>
      <c r="I2421" s="13">
        <v>0</v>
      </c>
      <c r="J2421" s="13">
        <v>0</v>
      </c>
      <c r="K2421" s="14" t="str">
        <f t="shared" ref="K2421:K2423" si="516">HYPERLINK("http://twitter.com","Twitter Web Client")</f>
        <v>Twitter Web Client</v>
      </c>
      <c r="L2421" s="13">
        <v>264</v>
      </c>
      <c r="M2421" s="13">
        <v>760</v>
      </c>
      <c r="N2421" s="13">
        <v>18</v>
      </c>
      <c r="O2421" s="15"/>
      <c r="P2421" s="6">
        <v>40477.868043981478</v>
      </c>
      <c r="Q2421" s="12"/>
      <c r="R2421" s="17" t="s">
        <v>32</v>
      </c>
      <c r="S2421" s="12"/>
      <c r="T2421" s="12"/>
      <c r="U2421" s="10" t="str">
        <f>HYPERLINK("https://pbs.twimg.com/profile_images/2906316440/4ed1570f50fd6f70f1b28d458997dd81.jpeg","View")</f>
        <v>View</v>
      </c>
    </row>
    <row r="2422" spans="1:21" ht="30.6">
      <c r="A2422" s="6">
        <v>43423.998090277775</v>
      </c>
      <c r="B2422" s="7" t="str">
        <f>HYPERLINK("https://twitter.com/meaonaranja","@meaonaranja")</f>
        <v>@meaonaranja</v>
      </c>
      <c r="C2422" s="8" t="s">
        <v>7880</v>
      </c>
      <c r="D2422" s="9" t="s">
        <v>7881</v>
      </c>
      <c r="E2422" s="10" t="str">
        <f>HYPERLINK("https://twitter.com/meaonaranja/status/1064653859497357313","1064653859497357313")</f>
        <v>1064653859497357313</v>
      </c>
      <c r="F2422" s="12"/>
      <c r="G2422" s="12"/>
      <c r="H2422" s="12"/>
      <c r="I2422" s="13">
        <v>0</v>
      </c>
      <c r="J2422" s="13">
        <v>4</v>
      </c>
      <c r="K2422" s="14" t="str">
        <f t="shared" si="516"/>
        <v>Twitter Web Client</v>
      </c>
      <c r="L2422" s="13">
        <v>30</v>
      </c>
      <c r="M2422" s="13">
        <v>154</v>
      </c>
      <c r="N2422" s="13">
        <v>0</v>
      </c>
      <c r="O2422" s="15"/>
      <c r="P2422" s="6">
        <v>43418.753379629634</v>
      </c>
      <c r="Q2422" s="12"/>
      <c r="R2422" s="17" t="s">
        <v>7882</v>
      </c>
      <c r="S2422" s="12"/>
      <c r="T2422" s="12"/>
      <c r="U2422" s="10" t="str">
        <f>HYPERLINK("https://pbs.twimg.com/profile_images/1062754566880538624/xlx1F36a.jpg","View")</f>
        <v>View</v>
      </c>
    </row>
    <row r="2423" spans="1:21" ht="51">
      <c r="A2423" s="6">
        <v>43423.996261574073</v>
      </c>
      <c r="B2423" s="7" t="str">
        <f>HYPERLINK("https://twitter.com/SamuelSanLo","@SamuelSanLo")</f>
        <v>@SamuelSanLo</v>
      </c>
      <c r="C2423" s="8" t="s">
        <v>5999</v>
      </c>
      <c r="D2423" s="9" t="s">
        <v>6000</v>
      </c>
      <c r="E2423" s="10" t="str">
        <f>HYPERLINK("https://twitter.com/SamuelSanLo/status/1064653198575714311","1064653198575714311")</f>
        <v>1064653198575714311</v>
      </c>
      <c r="F2423" s="12"/>
      <c r="G2423" s="12"/>
      <c r="H2423" s="12"/>
      <c r="I2423" s="13">
        <v>0</v>
      </c>
      <c r="J2423" s="13">
        <v>2</v>
      </c>
      <c r="K2423" s="14" t="str">
        <f t="shared" si="516"/>
        <v>Twitter Web Client</v>
      </c>
      <c r="L2423" s="13">
        <v>125</v>
      </c>
      <c r="M2423" s="13">
        <v>171</v>
      </c>
      <c r="N2423" s="13">
        <v>1</v>
      </c>
      <c r="O2423" s="15"/>
      <c r="P2423" s="6">
        <v>42737.217442129629</v>
      </c>
      <c r="Q2423" s="16" t="s">
        <v>6001</v>
      </c>
      <c r="R2423" s="17" t="s">
        <v>6003</v>
      </c>
      <c r="S2423" s="12"/>
      <c r="T2423" s="12"/>
      <c r="U2423" s="10" t="str">
        <f>HYPERLINK("https://pbs.twimg.com/profile_images/1049790509491912705/jM70fMT2.jpg","View")</f>
        <v>View</v>
      </c>
    </row>
    <row r="2424" spans="1:21" ht="40.799999999999997">
      <c r="A2424" s="6">
        <v>43423.993657407409</v>
      </c>
      <c r="B2424" s="7" t="str">
        <f>HYPERLINK("https://twitter.com/jorgenavasalejo","@jorgenavasalejo")</f>
        <v>@jorgenavasalejo</v>
      </c>
      <c r="C2424" s="8" t="s">
        <v>7883</v>
      </c>
      <c r="D2424" s="9" t="s">
        <v>7884</v>
      </c>
      <c r="E2424" s="10" t="str">
        <f>HYPERLINK("https://twitter.com/jorgenavasalejo/status/1064652255280984065","1064652255280984065")</f>
        <v>1064652255280984065</v>
      </c>
      <c r="F2424" s="12"/>
      <c r="G2424" s="12"/>
      <c r="H2424" s="12"/>
      <c r="I2424" s="13">
        <v>6</v>
      </c>
      <c r="J2424" s="13">
        <v>5</v>
      </c>
      <c r="K2424" s="14" t="str">
        <f t="shared" ref="K2424:K2425" si="517">HYPERLINK("https://about.twitter.com/products/tweetdeck","TweetDeck")</f>
        <v>TweetDeck</v>
      </c>
      <c r="L2424" s="13">
        <v>4023</v>
      </c>
      <c r="M2424" s="13">
        <v>3093</v>
      </c>
      <c r="N2424" s="13">
        <v>177</v>
      </c>
      <c r="O2424" s="15"/>
      <c r="P2424" s="6">
        <v>39477.897534722222</v>
      </c>
      <c r="Q2424" s="16" t="s">
        <v>7885</v>
      </c>
      <c r="R2424" s="17" t="s">
        <v>7886</v>
      </c>
      <c r="S2424" s="11" t="s">
        <v>7887</v>
      </c>
      <c r="T2424" s="12"/>
      <c r="U2424" s="10" t="str">
        <f>HYPERLINK("https://pbs.twimg.com/profile_images/763107560459268097/_jM-C0BF.jpg","View")</f>
        <v>View</v>
      </c>
    </row>
    <row r="2425" spans="1:21" ht="30.6">
      <c r="A2425" s="6">
        <v>43423.993275462963</v>
      </c>
      <c r="B2425" s="7" t="str">
        <f>HYPERLINK("https://twitter.com/ElHuffPost","@ElHuffPost")</f>
        <v>@ElHuffPost</v>
      </c>
      <c r="C2425" s="8" t="s">
        <v>6203</v>
      </c>
      <c r="D2425" s="9" t="s">
        <v>7888</v>
      </c>
      <c r="E2425" s="10" t="str">
        <f>HYPERLINK("https://twitter.com/ElHuffPost/status/1064652116759846912","1064652116759846912")</f>
        <v>1064652116759846912</v>
      </c>
      <c r="F2425" s="11" t="s">
        <v>7481</v>
      </c>
      <c r="G2425" s="12"/>
      <c r="H2425" s="12"/>
      <c r="I2425" s="13">
        <v>30</v>
      </c>
      <c r="J2425" s="13">
        <v>57</v>
      </c>
      <c r="K2425" s="14" t="str">
        <f t="shared" si="517"/>
        <v>TweetDeck</v>
      </c>
      <c r="L2425" s="13">
        <v>430325</v>
      </c>
      <c r="M2425" s="13">
        <v>1532</v>
      </c>
      <c r="N2425" s="13">
        <v>8188</v>
      </c>
      <c r="O2425" s="18" t="s">
        <v>36</v>
      </c>
      <c r="P2425" s="6">
        <v>40785.027118055557</v>
      </c>
      <c r="Q2425" s="16" t="s">
        <v>440</v>
      </c>
      <c r="R2425" s="17" t="s">
        <v>6205</v>
      </c>
      <c r="S2425" s="11" t="s">
        <v>6206</v>
      </c>
      <c r="T2425" s="12"/>
      <c r="U2425" s="10" t="str">
        <f>HYPERLINK("https://pbs.twimg.com/profile_images/921140803422089217/ETOEUOAx.jpg","View")</f>
        <v>View</v>
      </c>
    </row>
    <row r="2426" spans="1:21" ht="20.399999999999999">
      <c r="A2426" s="6">
        <v>43423.99217592593</v>
      </c>
      <c r="B2426" s="7" t="str">
        <f>HYPERLINK("https://twitter.com/JoseNba92","@JoseNba92")</f>
        <v>@JoseNba92</v>
      </c>
      <c r="C2426" s="8" t="s">
        <v>7889</v>
      </c>
      <c r="D2426" s="9" t="s">
        <v>7890</v>
      </c>
      <c r="E2426" s="10" t="str">
        <f>HYPERLINK("https://twitter.com/JoseNba92/status/1064651718246436864","1064651718246436864")</f>
        <v>1064651718246436864</v>
      </c>
      <c r="F2426" s="12"/>
      <c r="G2426" s="12"/>
      <c r="H2426" s="12"/>
      <c r="I2426" s="13">
        <v>0</v>
      </c>
      <c r="J2426" s="13">
        <v>2</v>
      </c>
      <c r="K2426" s="14" t="str">
        <f>HYPERLINK("http://twitter.com/download/android","Twitter for Android")</f>
        <v>Twitter for Android</v>
      </c>
      <c r="L2426" s="13">
        <v>168</v>
      </c>
      <c r="M2426" s="13">
        <v>138</v>
      </c>
      <c r="N2426" s="13">
        <v>7</v>
      </c>
      <c r="O2426" s="15"/>
      <c r="P2426" s="6">
        <v>41335.089953703704</v>
      </c>
      <c r="Q2426" s="16" t="s">
        <v>662</v>
      </c>
      <c r="R2426" s="17" t="s">
        <v>7891</v>
      </c>
      <c r="S2426" s="12"/>
      <c r="T2426" s="12"/>
      <c r="U2426" s="10" t="str">
        <f>HYPERLINK("https://pbs.twimg.com/profile_images/1055987432250859520/N_nT-yoZ.jpg","View")</f>
        <v>View</v>
      </c>
    </row>
    <row r="2427" spans="1:21" ht="40.799999999999997">
      <c r="A2427" s="6">
        <v>43423.99113425926</v>
      </c>
      <c r="B2427" s="7" t="str">
        <f>HYPERLINK("https://twitter.com/ManPerCor2","@ManPerCor2")</f>
        <v>@ManPerCor2</v>
      </c>
      <c r="C2427" s="8" t="s">
        <v>6005</v>
      </c>
      <c r="D2427" s="9" t="s">
        <v>6006</v>
      </c>
      <c r="E2427" s="10" t="str">
        <f>HYPERLINK("https://twitter.com/ManPerCor2/status/1064651341908328448","1064651341908328448")</f>
        <v>1064651341908328448</v>
      </c>
      <c r="F2427" s="12"/>
      <c r="G2427" s="12"/>
      <c r="H2427" s="12"/>
      <c r="I2427" s="13">
        <v>5</v>
      </c>
      <c r="J2427" s="13">
        <v>6</v>
      </c>
      <c r="K2427" s="14" t="str">
        <f>HYPERLINK("http://twitter.com","Twitter Web Client")</f>
        <v>Twitter Web Client</v>
      </c>
      <c r="L2427" s="13">
        <v>1713</v>
      </c>
      <c r="M2427" s="13">
        <v>1447</v>
      </c>
      <c r="N2427" s="13">
        <v>34</v>
      </c>
      <c r="O2427" s="15"/>
      <c r="P2427" s="6">
        <v>41013.660694444443</v>
      </c>
      <c r="Q2427" s="16" t="s">
        <v>366</v>
      </c>
      <c r="R2427" s="17" t="s">
        <v>6008</v>
      </c>
      <c r="S2427" s="11" t="s">
        <v>6009</v>
      </c>
      <c r="T2427" s="12"/>
      <c r="U2427" s="10" t="str">
        <f>HYPERLINK("https://pbs.twimg.com/profile_images/1057390183400775680/XnOR5CPz.jpg","View")</f>
        <v>View</v>
      </c>
    </row>
    <row r="2428" spans="1:21" ht="40.799999999999997">
      <c r="A2428" s="6">
        <v>43423.990648148145</v>
      </c>
      <c r="B2428" s="7" t="str">
        <f>HYPERLINK("https://twitter.com/jjyborra","@jjyborra")</f>
        <v>@jjyborra</v>
      </c>
      <c r="C2428" s="8" t="s">
        <v>7892</v>
      </c>
      <c r="D2428" s="9" t="s">
        <v>7893</v>
      </c>
      <c r="E2428" s="10" t="str">
        <f>HYPERLINK("https://twitter.com/jjyborra/status/1064651165642776576","1064651165642776576")</f>
        <v>1064651165642776576</v>
      </c>
      <c r="F2428" s="12"/>
      <c r="G2428" s="11" t="s">
        <v>7894</v>
      </c>
      <c r="H2428" s="12"/>
      <c r="I2428" s="13">
        <v>4</v>
      </c>
      <c r="J2428" s="13">
        <v>4</v>
      </c>
      <c r="K2428" s="14" t="str">
        <f>HYPERLINK("http://twitter.com/download/iphone","Twitter for iPhone")</f>
        <v>Twitter for iPhone</v>
      </c>
      <c r="L2428" s="13">
        <v>5816</v>
      </c>
      <c r="M2428" s="13">
        <v>2348</v>
      </c>
      <c r="N2428" s="13">
        <v>192</v>
      </c>
      <c r="O2428" s="15"/>
      <c r="P2428" s="6">
        <v>40892.574826388889</v>
      </c>
      <c r="Q2428" s="16" t="s">
        <v>333</v>
      </c>
      <c r="R2428" s="17" t="s">
        <v>7895</v>
      </c>
      <c r="S2428" s="12"/>
      <c r="T2428" s="12"/>
      <c r="U2428" s="10" t="str">
        <f>HYPERLINK("https://pbs.twimg.com/profile_images/1050338247522562050/X_OeiTcn.jpg","View")</f>
        <v>View</v>
      </c>
    </row>
    <row r="2429" spans="1:21" ht="20.399999999999999">
      <c r="A2429" s="6">
        <v>43423.990567129629</v>
      </c>
      <c r="B2429" s="7" t="str">
        <f>HYPERLINK("https://twitter.com/TioPio_filosofo","@TioPio_filosofo")</f>
        <v>@TioPio_filosofo</v>
      </c>
      <c r="C2429" s="8" t="s">
        <v>7896</v>
      </c>
      <c r="D2429" s="9" t="s">
        <v>7897</v>
      </c>
      <c r="E2429" s="10" t="str">
        <f>HYPERLINK("https://twitter.com/TioPio_filosofo/status/1064651135431176192","1064651135431176192")</f>
        <v>1064651135431176192</v>
      </c>
      <c r="F2429" s="12"/>
      <c r="G2429" s="12"/>
      <c r="H2429" s="12"/>
      <c r="I2429" s="13">
        <v>0</v>
      </c>
      <c r="J2429" s="13">
        <v>0</v>
      </c>
      <c r="K2429" s="14" t="str">
        <f>HYPERLINK("http://twitter.com/download/android","Twitter for Android")</f>
        <v>Twitter for Android</v>
      </c>
      <c r="L2429" s="13">
        <v>8</v>
      </c>
      <c r="M2429" s="13">
        <v>23</v>
      </c>
      <c r="N2429" s="13">
        <v>0</v>
      </c>
      <c r="O2429" s="15"/>
      <c r="P2429" s="6">
        <v>43348.656388888892</v>
      </c>
      <c r="Q2429" s="12"/>
      <c r="R2429" s="19"/>
      <c r="S2429" s="12"/>
      <c r="T2429" s="12"/>
      <c r="U2429" s="10" t="str">
        <f>HYPERLINK("https://pbs.twimg.com/profile_images/1039196316121935873/rt-pNgSg.jpg","View")</f>
        <v>View</v>
      </c>
    </row>
    <row r="2430" spans="1:21" ht="30.6">
      <c r="A2430" s="6">
        <v>43423.990347222221</v>
      </c>
      <c r="B2430" s="7" t="str">
        <f>HYPERLINK("https://twitter.com/arturomoranIV","@arturomoranIV")</f>
        <v>@arturomoranIV</v>
      </c>
      <c r="C2430" s="8" t="s">
        <v>7898</v>
      </c>
      <c r="D2430" s="9" t="s">
        <v>7899</v>
      </c>
      <c r="E2430" s="10" t="str">
        <f>HYPERLINK("https://twitter.com/arturomoranIV/status/1064651054757920770","1064651054757920770")</f>
        <v>1064651054757920770</v>
      </c>
      <c r="F2430" s="12"/>
      <c r="G2430" s="12"/>
      <c r="H2430" s="12"/>
      <c r="I2430" s="13">
        <v>0</v>
      </c>
      <c r="J2430" s="13">
        <v>0</v>
      </c>
      <c r="K2430" s="14" t="str">
        <f>HYPERLINK("http://tapbots.com/tweetbot","Tweetbot for iΟS")</f>
        <v>Tweetbot for iΟS</v>
      </c>
      <c r="L2430" s="13">
        <v>3685</v>
      </c>
      <c r="M2430" s="13">
        <v>1851</v>
      </c>
      <c r="N2430" s="13">
        <v>173</v>
      </c>
      <c r="O2430" s="15"/>
      <c r="P2430" s="6">
        <v>40245.880856481483</v>
      </c>
      <c r="Q2430" s="16" t="s">
        <v>1460</v>
      </c>
      <c r="R2430" s="17" t="s">
        <v>7900</v>
      </c>
      <c r="S2430" s="12"/>
      <c r="T2430" s="12"/>
      <c r="U2430" s="10" t="str">
        <f>HYPERLINK("https://pbs.twimg.com/profile_images/749138301752344576/eL4lqcNt.jpg","View")</f>
        <v>View</v>
      </c>
    </row>
    <row r="2431" spans="1:21" ht="40.799999999999997">
      <c r="A2431" s="6">
        <v>43423.990324074075</v>
      </c>
      <c r="B2431" s="7" t="str">
        <f>HYPERLINK("https://twitter.com/CarmeloPrado","@CarmeloPrado")</f>
        <v>@CarmeloPrado</v>
      </c>
      <c r="C2431" s="8" t="s">
        <v>6011</v>
      </c>
      <c r="D2431" s="9" t="s">
        <v>6012</v>
      </c>
      <c r="E2431" s="10" t="str">
        <f>HYPERLINK("https://twitter.com/CarmeloPrado/status/1064651046759395328","1064651046759395328")</f>
        <v>1064651046759395328</v>
      </c>
      <c r="F2431" s="12"/>
      <c r="G2431" s="12"/>
      <c r="H2431" s="12"/>
      <c r="I2431" s="13">
        <v>0</v>
      </c>
      <c r="J2431" s="13">
        <v>3</v>
      </c>
      <c r="K2431" s="14" t="str">
        <f t="shared" ref="K2431:K2432" si="518">HYPERLINK("http://twitter.com","Twitter Web Client")</f>
        <v>Twitter Web Client</v>
      </c>
      <c r="L2431" s="13">
        <v>754</v>
      </c>
      <c r="M2431" s="13">
        <v>708</v>
      </c>
      <c r="N2431" s="13">
        <v>3</v>
      </c>
      <c r="O2431" s="15"/>
      <c r="P2431" s="6">
        <v>40460.62663194444</v>
      </c>
      <c r="Q2431" s="16" t="s">
        <v>66</v>
      </c>
      <c r="R2431" s="17" t="s">
        <v>6013</v>
      </c>
      <c r="S2431" s="11" t="s">
        <v>6014</v>
      </c>
      <c r="T2431" s="12"/>
      <c r="U2431" s="10" t="str">
        <f>HYPERLINK("https://pbs.twimg.com/profile_images/988490841021911041/cV-ip723.jpg","View")</f>
        <v>View</v>
      </c>
    </row>
    <row r="2432" spans="1:21" ht="30.6">
      <c r="A2432" s="6">
        <v>43423.989479166667</v>
      </c>
      <c r="B2432" s="7" t="str">
        <f>HYPERLINK("https://twitter.com/Juanjorr90","@Juanjorr90")</f>
        <v>@Juanjorr90</v>
      </c>
      <c r="C2432" s="8" t="s">
        <v>7901</v>
      </c>
      <c r="D2432" s="9" t="s">
        <v>7902</v>
      </c>
      <c r="E2432" s="10" t="str">
        <f>HYPERLINK("https://twitter.com/Juanjorr90/status/1064650741770608641","1064650741770608641")</f>
        <v>1064650741770608641</v>
      </c>
      <c r="F2432" s="12"/>
      <c r="G2432" s="12"/>
      <c r="H2432" s="12"/>
      <c r="I2432" s="13">
        <v>0</v>
      </c>
      <c r="J2432" s="13">
        <v>0</v>
      </c>
      <c r="K2432" s="14" t="str">
        <f t="shared" si="518"/>
        <v>Twitter Web Client</v>
      </c>
      <c r="L2432" s="13">
        <v>504</v>
      </c>
      <c r="M2432" s="13">
        <v>661</v>
      </c>
      <c r="N2432" s="13">
        <v>6</v>
      </c>
      <c r="O2432" s="15"/>
      <c r="P2432" s="6">
        <v>40500.15457175926</v>
      </c>
      <c r="Q2432" s="16" t="s">
        <v>7903</v>
      </c>
      <c r="R2432" s="17" t="s">
        <v>7904</v>
      </c>
      <c r="S2432" s="12"/>
      <c r="T2432" s="12"/>
      <c r="U2432" s="10" t="str">
        <f>HYPERLINK("https://pbs.twimg.com/profile_images/889324627725570048/zHy_wKvd.jpg","View")</f>
        <v>View</v>
      </c>
    </row>
    <row r="2433" spans="1:21" ht="40.799999999999997">
      <c r="A2433" s="6">
        <v>43423.989444444444</v>
      </c>
      <c r="B2433" s="7" t="str">
        <f>HYPERLINK("https://twitter.com/juanca_sev","@juanca_sev")</f>
        <v>@juanca_sev</v>
      </c>
      <c r="C2433" s="8" t="s">
        <v>6071</v>
      </c>
      <c r="D2433" s="9" t="s">
        <v>7905</v>
      </c>
      <c r="E2433" s="10" t="str">
        <f>HYPERLINK("https://twitter.com/juanca_sev/status/1064650727581253632","1064650727581253632")</f>
        <v>1064650727581253632</v>
      </c>
      <c r="F2433" s="12"/>
      <c r="G2433" s="12"/>
      <c r="H2433" s="12"/>
      <c r="I2433" s="13">
        <v>1</v>
      </c>
      <c r="J2433" s="13">
        <v>3</v>
      </c>
      <c r="K2433" s="14" t="str">
        <f t="shared" ref="K2433:K2434" si="519">HYPERLINK("https://about.twitter.com/products/tweetdeck","TweetDeck")</f>
        <v>TweetDeck</v>
      </c>
      <c r="L2433" s="13">
        <v>2436</v>
      </c>
      <c r="M2433" s="13">
        <v>1000</v>
      </c>
      <c r="N2433" s="13">
        <v>69</v>
      </c>
      <c r="O2433" s="15"/>
      <c r="P2433" s="6">
        <v>40062.090787037036</v>
      </c>
      <c r="Q2433" s="16" t="s">
        <v>6075</v>
      </c>
      <c r="R2433" s="17" t="s">
        <v>6076</v>
      </c>
      <c r="S2433" s="11" t="s">
        <v>6077</v>
      </c>
      <c r="T2433" s="12"/>
      <c r="U2433" s="10" t="str">
        <f>HYPERLINK("https://pbs.twimg.com/profile_images/1063086451917762560/B8nClP5Y.jpg","View")</f>
        <v>View</v>
      </c>
    </row>
    <row r="2434" spans="1:21" ht="30.6">
      <c r="A2434" s="6">
        <v>43423.989004629635</v>
      </c>
      <c r="B2434" s="7" t="str">
        <f>HYPERLINK("https://twitter.com/Diandrar23","@Diandrar23")</f>
        <v>@Diandrar23</v>
      </c>
      <c r="C2434" s="8" t="s">
        <v>6714</v>
      </c>
      <c r="D2434" s="9" t="s">
        <v>7906</v>
      </c>
      <c r="E2434" s="10" t="str">
        <f>HYPERLINK("https://twitter.com/Diandrar23/status/1064650570433212416","1064650570433212416")</f>
        <v>1064650570433212416</v>
      </c>
      <c r="F2434" s="12"/>
      <c r="G2434" s="12"/>
      <c r="H2434" s="12"/>
      <c r="I2434" s="13">
        <v>3</v>
      </c>
      <c r="J2434" s="13">
        <v>0</v>
      </c>
      <c r="K2434" s="14" t="str">
        <f t="shared" si="519"/>
        <v>TweetDeck</v>
      </c>
      <c r="L2434" s="13">
        <v>1168</v>
      </c>
      <c r="M2434" s="13">
        <v>1387</v>
      </c>
      <c r="N2434" s="13">
        <v>28</v>
      </c>
      <c r="O2434" s="15"/>
      <c r="P2434" s="6">
        <v>40414.5309837963</v>
      </c>
      <c r="Q2434" s="16" t="s">
        <v>6715</v>
      </c>
      <c r="R2434" s="17" t="s">
        <v>6716</v>
      </c>
      <c r="S2434" s="11" t="s">
        <v>6717</v>
      </c>
      <c r="T2434" s="12"/>
      <c r="U2434" s="10" t="str">
        <f>HYPERLINK("https://pbs.twimg.com/profile_images/1041405954493964289/NCo7ybfr.jpg","View")</f>
        <v>View</v>
      </c>
    </row>
    <row r="2435" spans="1:21" ht="40.799999999999997">
      <c r="A2435" s="6">
        <v>43423.988587962958</v>
      </c>
      <c r="B2435" s="7" t="str">
        <f>HYPERLINK("https://twitter.com/estanisrn","@estanisrn")</f>
        <v>@estanisrn</v>
      </c>
      <c r="C2435" s="8" t="s">
        <v>7907</v>
      </c>
      <c r="D2435" s="9" t="s">
        <v>7908</v>
      </c>
      <c r="E2435" s="10" t="str">
        <f>HYPERLINK("https://twitter.com/estanisrn/status/1064650417651531779","1064650417651531779")</f>
        <v>1064650417651531779</v>
      </c>
      <c r="F2435" s="12"/>
      <c r="G2435" s="12"/>
      <c r="H2435" s="12"/>
      <c r="I2435" s="13">
        <v>1</v>
      </c>
      <c r="J2435" s="13">
        <v>6</v>
      </c>
      <c r="K2435" s="14" t="str">
        <f>HYPERLINK("http://twitter.com/download/iphone","Twitter for iPhone")</f>
        <v>Twitter for iPhone</v>
      </c>
      <c r="L2435" s="13">
        <v>366</v>
      </c>
      <c r="M2435" s="13">
        <v>188</v>
      </c>
      <c r="N2435" s="13">
        <v>0</v>
      </c>
      <c r="O2435" s="15"/>
      <c r="P2435" s="6">
        <v>42496.526874999996</v>
      </c>
      <c r="Q2435" s="16" t="s">
        <v>440</v>
      </c>
      <c r="R2435" s="17" t="s">
        <v>7909</v>
      </c>
      <c r="S2435" s="12"/>
      <c r="T2435" s="12"/>
      <c r="U2435" s="10" t="str">
        <f>HYPERLINK("https://pbs.twimg.com/profile_images/991071454333669376/76hKiQ1n.jpg","View")</f>
        <v>View</v>
      </c>
    </row>
    <row r="2436" spans="1:21" ht="40.799999999999997">
      <c r="A2436" s="6">
        <v>43423.988576388889</v>
      </c>
      <c r="B2436" s="7" t="str">
        <f>HYPERLINK("https://twitter.com/ElSalto_And","@ElSalto_And")</f>
        <v>@ElSalto_And</v>
      </c>
      <c r="C2436" s="8" t="s">
        <v>7910</v>
      </c>
      <c r="D2436" s="9" t="s">
        <v>7911</v>
      </c>
      <c r="E2436" s="10" t="str">
        <f>HYPERLINK("https://twitter.com/ElSalto_And/status/1064650413583011841","1064650413583011841")</f>
        <v>1064650413583011841</v>
      </c>
      <c r="F2436" s="12"/>
      <c r="G2436" s="12"/>
      <c r="H2436" s="12"/>
      <c r="I2436" s="13">
        <v>2</v>
      </c>
      <c r="J2436" s="13">
        <v>0</v>
      </c>
      <c r="K2436" s="14" t="str">
        <f>HYPERLINK("https://about.twitter.com/products/tweetdeck","TweetDeck")</f>
        <v>TweetDeck</v>
      </c>
      <c r="L2436" s="13">
        <v>2666</v>
      </c>
      <c r="M2436" s="13">
        <v>600</v>
      </c>
      <c r="N2436" s="13">
        <v>73</v>
      </c>
      <c r="O2436" s="15"/>
      <c r="P2436" s="6">
        <v>41237.693703703706</v>
      </c>
      <c r="Q2436" s="16" t="s">
        <v>170</v>
      </c>
      <c r="R2436" s="17" t="s">
        <v>7912</v>
      </c>
      <c r="S2436" s="11" t="s">
        <v>7913</v>
      </c>
      <c r="T2436" s="12"/>
      <c r="U2436" s="10" t="str">
        <f>HYPERLINK("https://pbs.twimg.com/profile_images/1054750396957294592/7hqGZ2dK.jpg","View")</f>
        <v>View</v>
      </c>
    </row>
    <row r="2437" spans="1:21" ht="30.6">
      <c r="A2437" s="6">
        <v>43423.986435185187</v>
      </c>
      <c r="B2437" s="7" t="str">
        <f>HYPERLINK("https://twitter.com/Piolinna","@Piolinna")</f>
        <v>@Piolinna</v>
      </c>
      <c r="C2437" s="8" t="s">
        <v>7914</v>
      </c>
      <c r="D2437" s="9" t="s">
        <v>7915</v>
      </c>
      <c r="E2437" s="10" t="str">
        <f>HYPERLINK("https://twitter.com/Piolinna/status/1064649639545249792","1064649639545249792")</f>
        <v>1064649639545249792</v>
      </c>
      <c r="F2437" s="11" t="s">
        <v>7916</v>
      </c>
      <c r="G2437" s="12"/>
      <c r="H2437" s="12"/>
      <c r="I2437" s="13">
        <v>0</v>
      </c>
      <c r="J2437" s="13">
        <v>1</v>
      </c>
      <c r="K2437" s="14" t="str">
        <f>HYPERLINK("http://twitter.com/#!/download/ipad","Twitter for iPad")</f>
        <v>Twitter for iPad</v>
      </c>
      <c r="L2437" s="13">
        <v>7731</v>
      </c>
      <c r="M2437" s="13">
        <v>4021</v>
      </c>
      <c r="N2437" s="13">
        <v>267</v>
      </c>
      <c r="O2437" s="15"/>
      <c r="P2437" s="6">
        <v>39907.891898148147</v>
      </c>
      <c r="Q2437" s="12"/>
      <c r="R2437" s="17" t="s">
        <v>7917</v>
      </c>
      <c r="S2437" s="12"/>
      <c r="T2437" s="12"/>
      <c r="U2437" s="10" t="str">
        <f>HYPERLINK("https://pbs.twimg.com/profile_images/1011313531915067392/ylOpf_Kr.jpg","View")</f>
        <v>View</v>
      </c>
    </row>
    <row r="2438" spans="1:21" ht="51">
      <c r="A2438" s="6">
        <v>43423.986296296294</v>
      </c>
      <c r="B2438" s="7" t="str">
        <f>HYPERLINK("https://twitter.com/juangilpodemos","@juangilpodemos")</f>
        <v>@juangilpodemos</v>
      </c>
      <c r="C2438" s="8" t="s">
        <v>6015</v>
      </c>
      <c r="D2438" s="9" t="s">
        <v>6016</v>
      </c>
      <c r="E2438" s="10" t="str">
        <f>HYPERLINK("https://twitter.com/juangilpodemos/status/1064649586348879873","1064649586348879873")</f>
        <v>1064649586348879873</v>
      </c>
      <c r="F2438" s="12"/>
      <c r="G2438" s="11" t="s">
        <v>6017</v>
      </c>
      <c r="H2438" s="12"/>
      <c r="I2438" s="13">
        <v>19</v>
      </c>
      <c r="J2438" s="13">
        <v>25</v>
      </c>
      <c r="K2438" s="14" t="str">
        <f>HYPERLINK("http://twitter.com","Twitter Web Client")</f>
        <v>Twitter Web Client</v>
      </c>
      <c r="L2438" s="13">
        <v>18380</v>
      </c>
      <c r="M2438" s="13">
        <v>16839</v>
      </c>
      <c r="N2438" s="13">
        <v>140</v>
      </c>
      <c r="O2438" s="15"/>
      <c r="P2438" s="6">
        <v>41922.722222222219</v>
      </c>
      <c r="Q2438" s="16" t="s">
        <v>1460</v>
      </c>
      <c r="R2438" s="17" t="s">
        <v>6018</v>
      </c>
      <c r="S2438" s="11" t="s">
        <v>6019</v>
      </c>
      <c r="T2438" s="12"/>
      <c r="U2438" s="10" t="str">
        <f>HYPERLINK("https://pbs.twimg.com/profile_images/1018789254049206272/rX7yyF9l.jpg","View")</f>
        <v>View</v>
      </c>
    </row>
    <row r="2439" spans="1:21" ht="40.799999999999997">
      <c r="A2439" s="6">
        <v>43423.984988425931</v>
      </c>
      <c r="B2439" s="7" t="str">
        <f>HYPERLINK("https://twitter.com/FAmadorD","@FAmadorD")</f>
        <v>@FAmadorD</v>
      </c>
      <c r="C2439" s="8" t="s">
        <v>6020</v>
      </c>
      <c r="D2439" s="9" t="s">
        <v>6021</v>
      </c>
      <c r="E2439" s="10" t="str">
        <f>HYPERLINK("https://twitter.com/FAmadorD/status/1064649113696915456","1064649113696915456")</f>
        <v>1064649113696915456</v>
      </c>
      <c r="F2439" s="11" t="s">
        <v>6024</v>
      </c>
      <c r="G2439" s="12"/>
      <c r="H2439" s="12"/>
      <c r="I2439" s="13">
        <v>0</v>
      </c>
      <c r="J2439" s="13">
        <v>1</v>
      </c>
      <c r="K2439" s="14" t="str">
        <f t="shared" ref="K2439:K2442" si="520">HYPERLINK("http://twitter.com/download/android","Twitter for Android")</f>
        <v>Twitter for Android</v>
      </c>
      <c r="L2439" s="13">
        <v>721</v>
      </c>
      <c r="M2439" s="13">
        <v>742</v>
      </c>
      <c r="N2439" s="13">
        <v>21</v>
      </c>
      <c r="O2439" s="15"/>
      <c r="P2439" s="6">
        <v>40771.443090277782</v>
      </c>
      <c r="Q2439" s="16" t="s">
        <v>6025</v>
      </c>
      <c r="R2439" s="17" t="s">
        <v>6026</v>
      </c>
      <c r="S2439" s="11" t="s">
        <v>6027</v>
      </c>
      <c r="T2439" s="12"/>
      <c r="U2439" s="10" t="str">
        <f>HYPERLINK("https://pbs.twimg.com/profile_images/555077531808698369/EkoNAJVe.jpeg","View")</f>
        <v>View</v>
      </c>
    </row>
    <row r="2440" spans="1:21" ht="51">
      <c r="A2440" s="6">
        <v>43423.984907407408</v>
      </c>
      <c r="B2440" s="7" t="str">
        <f>HYPERLINK("https://twitter.com/PSOEMLGCENTRO","@PSOEMLGCENTRO")</f>
        <v>@PSOEMLGCENTRO</v>
      </c>
      <c r="C2440" s="8" t="s">
        <v>6028</v>
      </c>
      <c r="D2440" s="9" t="s">
        <v>6029</v>
      </c>
      <c r="E2440" s="10" t="str">
        <f>HYPERLINK("https://twitter.com/PSOEMLGCENTRO/status/1064649084743680000","1064649084743680000")</f>
        <v>1064649084743680000</v>
      </c>
      <c r="F2440" s="12"/>
      <c r="G2440" s="12"/>
      <c r="H2440" s="12"/>
      <c r="I2440" s="13">
        <v>34</v>
      </c>
      <c r="J2440" s="13">
        <v>30</v>
      </c>
      <c r="K2440" s="14" t="str">
        <f t="shared" si="520"/>
        <v>Twitter for Android</v>
      </c>
      <c r="L2440" s="13">
        <v>750</v>
      </c>
      <c r="M2440" s="13">
        <v>208</v>
      </c>
      <c r="N2440" s="13">
        <v>17</v>
      </c>
      <c r="O2440" s="15"/>
      <c r="P2440" s="6">
        <v>41312.492789351854</v>
      </c>
      <c r="Q2440" s="16" t="s">
        <v>6031</v>
      </c>
      <c r="R2440" s="17" t="s">
        <v>6032</v>
      </c>
      <c r="S2440" s="11" t="s">
        <v>6033</v>
      </c>
      <c r="T2440" s="12"/>
      <c r="U2440" s="10" t="str">
        <f>HYPERLINK("https://pbs.twimg.com/profile_images/1056660088474222592/JZwt8x27.jpg","View")</f>
        <v>View</v>
      </c>
    </row>
    <row r="2441" spans="1:21" ht="51">
      <c r="A2441" s="6">
        <v>43423.984594907408</v>
      </c>
      <c r="B2441" s="7" t="str">
        <f>HYPERLINK("https://twitter.com/MaiteMolinaN","@MaiteMolinaN")</f>
        <v>@MaiteMolinaN</v>
      </c>
      <c r="C2441" s="8" t="s">
        <v>7918</v>
      </c>
      <c r="D2441" s="9" t="s">
        <v>7919</v>
      </c>
      <c r="E2441" s="10" t="str">
        <f>HYPERLINK("https://twitter.com/MaiteMolinaN/status/1064648972252471299","1064648972252471299")</f>
        <v>1064648972252471299</v>
      </c>
      <c r="F2441" s="12"/>
      <c r="G2441" s="12"/>
      <c r="H2441" s="12"/>
      <c r="I2441" s="13">
        <v>8</v>
      </c>
      <c r="J2441" s="13">
        <v>11</v>
      </c>
      <c r="K2441" s="14" t="str">
        <f t="shared" si="520"/>
        <v>Twitter for Android</v>
      </c>
      <c r="L2441" s="13">
        <v>8021</v>
      </c>
      <c r="M2441" s="13">
        <v>3947</v>
      </c>
      <c r="N2441" s="13">
        <v>176</v>
      </c>
      <c r="O2441" s="15"/>
      <c r="P2441" s="6">
        <v>40696.482928240745</v>
      </c>
      <c r="Q2441" s="16" t="s">
        <v>7920</v>
      </c>
      <c r="R2441" s="17" t="s">
        <v>7921</v>
      </c>
      <c r="S2441" s="11" t="s">
        <v>7922</v>
      </c>
      <c r="T2441" s="12"/>
      <c r="U2441" s="10" t="str">
        <f>HYPERLINK("https://pbs.twimg.com/profile_images/1052167927875670016/xzp3Gp6Q.jpg","View")</f>
        <v>View</v>
      </c>
    </row>
    <row r="2442" spans="1:21" ht="30.6">
      <c r="A2442" s="6">
        <v>43423.984236111108</v>
      </c>
      <c r="B2442" s="7" t="str">
        <f>HYPERLINK("https://twitter.com/guardiola816","@guardiola816")</f>
        <v>@guardiola816</v>
      </c>
      <c r="C2442" s="8" t="s">
        <v>7923</v>
      </c>
      <c r="D2442" s="9" t="s">
        <v>7924</v>
      </c>
      <c r="E2442" s="10" t="str">
        <f>HYPERLINK("https://twitter.com/guardiola816/status/1064648839062323200","1064648839062323200")</f>
        <v>1064648839062323200</v>
      </c>
      <c r="F2442" s="12"/>
      <c r="G2442" s="11" t="s">
        <v>7925</v>
      </c>
      <c r="H2442" s="12"/>
      <c r="I2442" s="13">
        <v>1</v>
      </c>
      <c r="J2442" s="13">
        <v>1</v>
      </c>
      <c r="K2442" s="14" t="str">
        <f t="shared" si="520"/>
        <v>Twitter for Android</v>
      </c>
      <c r="L2442" s="13">
        <v>332</v>
      </c>
      <c r="M2442" s="13">
        <v>915</v>
      </c>
      <c r="N2442" s="13">
        <v>1</v>
      </c>
      <c r="O2442" s="15"/>
      <c r="P2442" s="6">
        <v>40621.700798611113</v>
      </c>
      <c r="Q2442" s="16" t="s">
        <v>7926</v>
      </c>
      <c r="R2442" s="17" t="s">
        <v>7927</v>
      </c>
      <c r="S2442" s="12"/>
      <c r="T2442" s="12"/>
      <c r="U2442" s="10" t="str">
        <f>HYPERLINK("https://pbs.twimg.com/profile_images/986528592090759168/dIHIUz67.jpg","View")</f>
        <v>View</v>
      </c>
    </row>
    <row r="2443" spans="1:21" ht="51">
      <c r="A2443" s="6">
        <v>43423.984027777777</v>
      </c>
      <c r="B2443" s="7" t="str">
        <f>HYPERLINK("https://twitter.com/fernandoga60","@fernandoga60")</f>
        <v>@fernandoga60</v>
      </c>
      <c r="C2443" s="8" t="s">
        <v>1294</v>
      </c>
      <c r="D2443" s="9" t="s">
        <v>7928</v>
      </c>
      <c r="E2443" s="10" t="str">
        <f>HYPERLINK("https://twitter.com/fernandoga60/status/1064648763279585280","1064648763279585280")</f>
        <v>1064648763279585280</v>
      </c>
      <c r="F2443" s="11" t="s">
        <v>7929</v>
      </c>
      <c r="G2443" s="12"/>
      <c r="H2443" s="12"/>
      <c r="I2443" s="13">
        <v>2</v>
      </c>
      <c r="J2443" s="13">
        <v>0</v>
      </c>
      <c r="K2443" s="14" t="str">
        <f t="shared" ref="K2443:K2444" si="521">HYPERLINK("http://twitter.com","Twitter Web Client")</f>
        <v>Twitter Web Client</v>
      </c>
      <c r="L2443" s="13">
        <v>2602</v>
      </c>
      <c r="M2443" s="13">
        <v>2659</v>
      </c>
      <c r="N2443" s="13">
        <v>36</v>
      </c>
      <c r="O2443" s="15"/>
      <c r="P2443" s="6">
        <v>41811.862916666665</v>
      </c>
      <c r="Q2443" s="12"/>
      <c r="R2443" s="19"/>
      <c r="S2443" s="12"/>
      <c r="T2443" s="12"/>
      <c r="U2443" s="10" t="str">
        <f>HYPERLINK("https://pbs.twimg.com/profile_images/509685316119437312/I16ksLJZ.jpeg","View")</f>
        <v>View</v>
      </c>
    </row>
    <row r="2444" spans="1:21" ht="40.799999999999997">
      <c r="A2444" s="6">
        <v>43423.982685185183</v>
      </c>
      <c r="B2444" s="7" t="str">
        <f>HYPERLINK("https://twitter.com/CristianGraciaP","@CristianGraciaP")</f>
        <v>@CristianGraciaP</v>
      </c>
      <c r="C2444" s="8" t="s">
        <v>7930</v>
      </c>
      <c r="D2444" s="9" t="s">
        <v>7931</v>
      </c>
      <c r="E2444" s="10" t="str">
        <f>HYPERLINK("https://twitter.com/CristianGraciaP/status/1064648278178975744","1064648278178975744")</f>
        <v>1064648278178975744</v>
      </c>
      <c r="F2444" s="12"/>
      <c r="G2444" s="12"/>
      <c r="H2444" s="12"/>
      <c r="I2444" s="13">
        <v>11</v>
      </c>
      <c r="J2444" s="13">
        <v>15</v>
      </c>
      <c r="K2444" s="14" t="str">
        <f t="shared" si="521"/>
        <v>Twitter Web Client</v>
      </c>
      <c r="L2444" s="13">
        <v>1034</v>
      </c>
      <c r="M2444" s="13">
        <v>1012</v>
      </c>
      <c r="N2444" s="13">
        <v>14</v>
      </c>
      <c r="O2444" s="15"/>
      <c r="P2444" s="6">
        <v>42168.86918981481</v>
      </c>
      <c r="Q2444" s="16" t="s">
        <v>7932</v>
      </c>
      <c r="R2444" s="17" t="s">
        <v>7933</v>
      </c>
      <c r="S2444" s="12"/>
      <c r="T2444" s="12"/>
      <c r="U2444" s="10" t="str">
        <f>HYPERLINK("https://pbs.twimg.com/profile_images/1013316573749227520/LlYaOhh3.jpg","View")</f>
        <v>View</v>
      </c>
    </row>
    <row r="2445" spans="1:21" ht="51">
      <c r="A2445" s="6">
        <v>43423.982499999998</v>
      </c>
      <c r="B2445" s="7" t="str">
        <f>HYPERLINK("https://twitter.com/Os_Irles","@Os_Irles")</f>
        <v>@Os_Irles</v>
      </c>
      <c r="C2445" s="8" t="s">
        <v>6034</v>
      </c>
      <c r="D2445" s="9" t="s">
        <v>6035</v>
      </c>
      <c r="E2445" s="10" t="str">
        <f>HYPERLINK("https://twitter.com/Os_Irles/status/1064648213062447105","1064648213062447105")</f>
        <v>1064648213062447105</v>
      </c>
      <c r="F2445" s="12"/>
      <c r="G2445" s="12"/>
      <c r="H2445" s="12"/>
      <c r="I2445" s="13">
        <v>0</v>
      </c>
      <c r="J2445" s="13">
        <v>0</v>
      </c>
      <c r="K2445" s="14" t="str">
        <f>HYPERLINK("http://twitter.com/download/android","Twitter for Android")</f>
        <v>Twitter for Android</v>
      </c>
      <c r="L2445" s="13">
        <v>301</v>
      </c>
      <c r="M2445" s="13">
        <v>290</v>
      </c>
      <c r="N2445" s="13">
        <v>6</v>
      </c>
      <c r="O2445" s="15"/>
      <c r="P2445" s="6">
        <v>40928.984895833331</v>
      </c>
      <c r="Q2445" s="16" t="s">
        <v>6036</v>
      </c>
      <c r="R2445" s="17" t="s">
        <v>6037</v>
      </c>
      <c r="S2445" s="12"/>
      <c r="T2445" s="12"/>
      <c r="U2445" s="10" t="str">
        <f>HYPERLINK("https://pbs.twimg.com/profile_images/735574246865424386/CcYrABhQ.jpg","View")</f>
        <v>View</v>
      </c>
    </row>
    <row r="2446" spans="1:21" ht="51">
      <c r="A2446" s="6">
        <v>43423.98201388889</v>
      </c>
      <c r="B2446" s="7" t="str">
        <f>HYPERLINK("https://twitter.com/juanca_sev","@juanca_sev")</f>
        <v>@juanca_sev</v>
      </c>
      <c r="C2446" s="8" t="s">
        <v>6071</v>
      </c>
      <c r="D2446" s="9" t="s">
        <v>7934</v>
      </c>
      <c r="E2446" s="10" t="str">
        <f>HYPERLINK("https://twitter.com/juanca_sev/status/1064648036327018498","1064648036327018498")</f>
        <v>1064648036327018498</v>
      </c>
      <c r="F2446" s="12"/>
      <c r="G2446" s="12"/>
      <c r="H2446" s="12"/>
      <c r="I2446" s="13">
        <v>0</v>
      </c>
      <c r="J2446" s="13">
        <v>0</v>
      </c>
      <c r="K2446" s="14" t="str">
        <f>HYPERLINK("https://about.twitter.com/products/tweetdeck","TweetDeck")</f>
        <v>TweetDeck</v>
      </c>
      <c r="L2446" s="13">
        <v>2436</v>
      </c>
      <c r="M2446" s="13">
        <v>1000</v>
      </c>
      <c r="N2446" s="13">
        <v>69</v>
      </c>
      <c r="O2446" s="15"/>
      <c r="P2446" s="6">
        <v>40062.090787037036</v>
      </c>
      <c r="Q2446" s="16" t="s">
        <v>6075</v>
      </c>
      <c r="R2446" s="17" t="s">
        <v>6076</v>
      </c>
      <c r="S2446" s="11" t="s">
        <v>6077</v>
      </c>
      <c r="T2446" s="12"/>
      <c r="U2446" s="10" t="str">
        <f>HYPERLINK("https://pbs.twimg.com/profile_images/1063086451917762560/B8nClP5Y.jpg","View")</f>
        <v>View</v>
      </c>
    </row>
    <row r="2447" spans="1:21" ht="40.799999999999997">
      <c r="A2447" s="6">
        <v>43423.98201388889</v>
      </c>
      <c r="B2447" s="7" t="str">
        <f>HYPERLINK("https://twitter.com/ManPerCor2","@ManPerCor2")</f>
        <v>@ManPerCor2</v>
      </c>
      <c r="C2447" s="8" t="s">
        <v>6005</v>
      </c>
      <c r="D2447" s="9" t="s">
        <v>6038</v>
      </c>
      <c r="E2447" s="10" t="str">
        <f>HYPERLINK("https://twitter.com/ManPerCor2/status/1064648034880053249","1064648034880053249")</f>
        <v>1064648034880053249</v>
      </c>
      <c r="F2447" s="12"/>
      <c r="G2447" s="12"/>
      <c r="H2447" s="12"/>
      <c r="I2447" s="13">
        <v>0</v>
      </c>
      <c r="J2447" s="13">
        <v>0</v>
      </c>
      <c r="K2447" s="14" t="str">
        <f>HYPERLINK("http://twitter.com","Twitter Web Client")</f>
        <v>Twitter Web Client</v>
      </c>
      <c r="L2447" s="13">
        <v>1713</v>
      </c>
      <c r="M2447" s="13">
        <v>1447</v>
      </c>
      <c r="N2447" s="13">
        <v>34</v>
      </c>
      <c r="O2447" s="15"/>
      <c r="P2447" s="6">
        <v>41013.660694444443</v>
      </c>
      <c r="Q2447" s="16" t="s">
        <v>366</v>
      </c>
      <c r="R2447" s="17" t="s">
        <v>6008</v>
      </c>
      <c r="S2447" s="11" t="s">
        <v>6009</v>
      </c>
      <c r="T2447" s="12"/>
      <c r="U2447" s="10" t="str">
        <f>HYPERLINK("https://pbs.twimg.com/profile_images/1057390183400775680/XnOR5CPz.jpg","View")</f>
        <v>View</v>
      </c>
    </row>
    <row r="2448" spans="1:21" ht="30.6">
      <c r="A2448" s="6">
        <v>43423.976111111115</v>
      </c>
      <c r="B2448" s="7" t="str">
        <f>HYPERLINK("https://twitter.com/Johnny_Bravor","@Johnny_Bravor")</f>
        <v>@Johnny_Bravor</v>
      </c>
      <c r="C2448" s="8" t="s">
        <v>7935</v>
      </c>
      <c r="D2448" s="9" t="s">
        <v>7936</v>
      </c>
      <c r="E2448" s="10" t="str">
        <f>HYPERLINK("https://twitter.com/Johnny_Bravor/status/1064645896133058566","1064645896133058566")</f>
        <v>1064645896133058566</v>
      </c>
      <c r="F2448" s="12"/>
      <c r="G2448" s="12"/>
      <c r="H2448" s="12"/>
      <c r="I2448" s="13">
        <v>1</v>
      </c>
      <c r="J2448" s="13">
        <v>0</v>
      </c>
      <c r="K2448" s="14" t="str">
        <f>HYPERLINK("http://twitter.com/download/android","Twitter for Android")</f>
        <v>Twitter for Android</v>
      </c>
      <c r="L2448" s="13">
        <v>208</v>
      </c>
      <c r="M2448" s="13">
        <v>204</v>
      </c>
      <c r="N2448" s="13">
        <v>6</v>
      </c>
      <c r="O2448" s="15"/>
      <c r="P2448" s="6">
        <v>40478.023773148147</v>
      </c>
      <c r="Q2448" s="16" t="s">
        <v>7937</v>
      </c>
      <c r="R2448" s="19"/>
      <c r="S2448" s="12"/>
      <c r="T2448" s="12"/>
      <c r="U2448" s="10" t="str">
        <f>HYPERLINK("https://pbs.twimg.com/profile_images/898939550675894277/PsqLOTkY.jpg","View")</f>
        <v>View</v>
      </c>
    </row>
    <row r="2449" spans="1:21" ht="20.399999999999999">
      <c r="A2449" s="6">
        <v>43423.975405092591</v>
      </c>
      <c r="B2449" s="7" t="str">
        <f>HYPERLINK("https://twitter.com/Celeiro21","@Celeiro21")</f>
        <v>@Celeiro21</v>
      </c>
      <c r="C2449" s="8" t="s">
        <v>7938</v>
      </c>
      <c r="D2449" s="9" t="s">
        <v>7486</v>
      </c>
      <c r="E2449" s="10" t="str">
        <f>HYPERLINK("https://twitter.com/Celeiro21/status/1064645642448982016","1064645642448982016")</f>
        <v>1064645642448982016</v>
      </c>
      <c r="F2449" s="11" t="s">
        <v>6856</v>
      </c>
      <c r="G2449" s="12"/>
      <c r="H2449" s="12"/>
      <c r="I2449" s="13">
        <v>0</v>
      </c>
      <c r="J2449" s="13">
        <v>0</v>
      </c>
      <c r="K2449" s="14" t="str">
        <f>HYPERLINK("http://twitter.com","Twitter Web Client")</f>
        <v>Twitter Web Client</v>
      </c>
      <c r="L2449" s="13">
        <v>593</v>
      </c>
      <c r="M2449" s="13">
        <v>410</v>
      </c>
      <c r="N2449" s="13">
        <v>10</v>
      </c>
      <c r="O2449" s="15"/>
      <c r="P2449" s="6">
        <v>40542.860520833332</v>
      </c>
      <c r="Q2449" s="16" t="s">
        <v>7939</v>
      </c>
      <c r="R2449" s="17" t="s">
        <v>7940</v>
      </c>
      <c r="S2449" s="12"/>
      <c r="T2449" s="12"/>
      <c r="U2449" s="10" t="str">
        <f>HYPERLINK("https://pbs.twimg.com/profile_images/778980910800760832/l9vhzbHj.jpg","View")</f>
        <v>View</v>
      </c>
    </row>
    <row r="2450" spans="1:21" ht="20.399999999999999">
      <c r="A2450" s="6">
        <v>43423.975138888884</v>
      </c>
      <c r="B2450" s="7" t="str">
        <f>HYPERLINK("https://twitter.com/pablitonewman","@pablitonewman")</f>
        <v>@pablitonewman</v>
      </c>
      <c r="C2450" s="8" t="s">
        <v>7941</v>
      </c>
      <c r="D2450" s="9" t="s">
        <v>7942</v>
      </c>
      <c r="E2450" s="10" t="str">
        <f>HYPERLINK("https://twitter.com/pablitonewman/status/1064645544302309378","1064645544302309378")</f>
        <v>1064645544302309378</v>
      </c>
      <c r="F2450" s="12"/>
      <c r="G2450" s="12"/>
      <c r="H2450" s="12"/>
      <c r="I2450" s="13">
        <v>0</v>
      </c>
      <c r="J2450" s="13">
        <v>0</v>
      </c>
      <c r="K2450" s="14" t="str">
        <f t="shared" ref="K2450:K2451" si="522">HYPERLINK("http://twitter.com/download/android","Twitter for Android")</f>
        <v>Twitter for Android</v>
      </c>
      <c r="L2450" s="13">
        <v>495</v>
      </c>
      <c r="M2450" s="13">
        <v>975</v>
      </c>
      <c r="N2450" s="13">
        <v>5</v>
      </c>
      <c r="O2450" s="15"/>
      <c r="P2450" s="6">
        <v>41487.752905092595</v>
      </c>
      <c r="Q2450" s="16" t="s">
        <v>7943</v>
      </c>
      <c r="R2450" s="17" t="s">
        <v>7944</v>
      </c>
      <c r="S2450" s="12"/>
      <c r="T2450" s="12"/>
      <c r="U2450" s="10" t="str">
        <f>HYPERLINK("https://pbs.twimg.com/profile_images/1017158850791837697/LMpc8meY.jpg","View")</f>
        <v>View</v>
      </c>
    </row>
    <row r="2451" spans="1:21" ht="40.799999999999997">
      <c r="A2451" s="6">
        <v>43423.975092592591</v>
      </c>
      <c r="B2451" s="7" t="str">
        <f>HYPERLINK("https://twitter.com/MarcoyMedio","@MarcoyMedio")</f>
        <v>@MarcoyMedio</v>
      </c>
      <c r="C2451" s="8" t="s">
        <v>802</v>
      </c>
      <c r="D2451" s="9" t="s">
        <v>6041</v>
      </c>
      <c r="E2451" s="10" t="str">
        <f>HYPERLINK("https://twitter.com/MarcoyMedio/status/1064645526019366918","1064645526019366918")</f>
        <v>1064645526019366918</v>
      </c>
      <c r="F2451" s="12"/>
      <c r="G2451" s="11" t="s">
        <v>6042</v>
      </c>
      <c r="H2451" s="12"/>
      <c r="I2451" s="13">
        <v>0</v>
      </c>
      <c r="J2451" s="13">
        <v>0</v>
      </c>
      <c r="K2451" s="14" t="str">
        <f t="shared" si="522"/>
        <v>Twitter for Android</v>
      </c>
      <c r="L2451" s="13">
        <v>44</v>
      </c>
      <c r="M2451" s="13">
        <v>240</v>
      </c>
      <c r="N2451" s="13">
        <v>0</v>
      </c>
      <c r="O2451" s="15"/>
      <c r="P2451" s="6">
        <v>43362.593969907408</v>
      </c>
      <c r="Q2451" s="12"/>
      <c r="R2451" s="17" t="s">
        <v>804</v>
      </c>
      <c r="S2451" s="12"/>
      <c r="T2451" s="12"/>
      <c r="U2451" s="10" t="str">
        <f>HYPERLINK("https://pbs.twimg.com/profile_images/1063219918882185216/na2-twIY.jpg","View")</f>
        <v>View</v>
      </c>
    </row>
    <row r="2452" spans="1:21" ht="102">
      <c r="A2452" s="6">
        <v>43423.974826388891</v>
      </c>
      <c r="B2452" s="7" t="str">
        <f>HYPERLINK("https://twitter.com/Pitikleta","@Pitikleta")</f>
        <v>@Pitikleta</v>
      </c>
      <c r="C2452" s="8" t="s">
        <v>6046</v>
      </c>
      <c r="D2452" s="9" t="s">
        <v>6047</v>
      </c>
      <c r="E2452" s="10" t="str">
        <f>HYPERLINK("https://twitter.com/Pitikleta/status/1064645431978790912","1064645431978790912")</f>
        <v>1064645431978790912</v>
      </c>
      <c r="F2452" s="11" t="s">
        <v>6049</v>
      </c>
      <c r="G2452" s="11" t="s">
        <v>6050</v>
      </c>
      <c r="H2452" s="12"/>
      <c r="I2452" s="13">
        <v>0</v>
      </c>
      <c r="J2452" s="13">
        <v>0</v>
      </c>
      <c r="K2452" s="14" t="str">
        <f>HYPERLINK("http://twitter.com/download/iphone","Twitter for iPhone")</f>
        <v>Twitter for iPhone</v>
      </c>
      <c r="L2452" s="13">
        <v>90</v>
      </c>
      <c r="M2452" s="13">
        <v>767</v>
      </c>
      <c r="N2452" s="13">
        <v>0</v>
      </c>
      <c r="O2452" s="15"/>
      <c r="P2452" s="6">
        <v>43019.940474537041</v>
      </c>
      <c r="Q2452" s="16" t="s">
        <v>75</v>
      </c>
      <c r="R2452" s="17" t="s">
        <v>6053</v>
      </c>
      <c r="S2452" s="12"/>
      <c r="T2452" s="12"/>
      <c r="U2452" s="10" t="str">
        <f>HYPERLINK("https://pbs.twimg.com/profile_images/1065751477036019713/w2EDJKJz.jpg","View")</f>
        <v>View</v>
      </c>
    </row>
    <row r="2453" spans="1:21" ht="30.6">
      <c r="A2453" s="6">
        <v>43423.973125000004</v>
      </c>
      <c r="B2453" s="7" t="str">
        <f>HYPERLINK("https://twitter.com/DiegoAit","@DiegoAit")</f>
        <v>@DiegoAit</v>
      </c>
      <c r="C2453" s="8" t="s">
        <v>7945</v>
      </c>
      <c r="D2453" s="9" t="s">
        <v>7946</v>
      </c>
      <c r="E2453" s="10" t="str">
        <f>HYPERLINK("https://twitter.com/DiegoAit/status/1064644812119384066","1064644812119384066")</f>
        <v>1064644812119384066</v>
      </c>
      <c r="F2453" s="12"/>
      <c r="G2453" s="12"/>
      <c r="H2453" s="12"/>
      <c r="I2453" s="13">
        <v>1</v>
      </c>
      <c r="J2453" s="13">
        <v>0</v>
      </c>
      <c r="K2453" s="14" t="str">
        <f>HYPERLINK("http://twitter.com/download/android","Twitter for Android")</f>
        <v>Twitter for Android</v>
      </c>
      <c r="L2453" s="13">
        <v>698</v>
      </c>
      <c r="M2453" s="13">
        <v>927</v>
      </c>
      <c r="N2453" s="13">
        <v>6</v>
      </c>
      <c r="O2453" s="15"/>
      <c r="P2453" s="6">
        <v>40696.785370370373</v>
      </c>
      <c r="Q2453" s="12"/>
      <c r="R2453" s="17" t="s">
        <v>7947</v>
      </c>
      <c r="S2453" s="11" t="s">
        <v>7948</v>
      </c>
      <c r="T2453" s="12"/>
      <c r="U2453" s="10" t="str">
        <f>HYPERLINK("https://pbs.twimg.com/profile_images/892279181609971712/m2xQdCt8.jpg","View")</f>
        <v>View</v>
      </c>
    </row>
    <row r="2454" spans="1:21" ht="30.6">
      <c r="A2454" s="6">
        <v>43423.970335648148</v>
      </c>
      <c r="B2454" s="7" t="str">
        <f>HYPERLINK("https://twitter.com/Juanjorr90","@Juanjorr90")</f>
        <v>@Juanjorr90</v>
      </c>
      <c r="C2454" s="8" t="s">
        <v>7901</v>
      </c>
      <c r="D2454" s="9" t="s">
        <v>7949</v>
      </c>
      <c r="E2454" s="10" t="str">
        <f>HYPERLINK("https://twitter.com/Juanjorr90/status/1064643802156146694","1064643802156146694")</f>
        <v>1064643802156146694</v>
      </c>
      <c r="F2454" s="12"/>
      <c r="G2454" s="12"/>
      <c r="H2454" s="12"/>
      <c r="I2454" s="13">
        <v>0</v>
      </c>
      <c r="J2454" s="13">
        <v>0</v>
      </c>
      <c r="K2454" s="14" t="str">
        <f t="shared" ref="K2454:K2455" si="523">HYPERLINK("http://twitter.com","Twitter Web Client")</f>
        <v>Twitter Web Client</v>
      </c>
      <c r="L2454" s="13">
        <v>504</v>
      </c>
      <c r="M2454" s="13">
        <v>661</v>
      </c>
      <c r="N2454" s="13">
        <v>6</v>
      </c>
      <c r="O2454" s="15"/>
      <c r="P2454" s="6">
        <v>40500.15457175926</v>
      </c>
      <c r="Q2454" s="16" t="s">
        <v>7903</v>
      </c>
      <c r="R2454" s="17" t="s">
        <v>7904</v>
      </c>
      <c r="S2454" s="12"/>
      <c r="T2454" s="12"/>
      <c r="U2454" s="10" t="str">
        <f>HYPERLINK("https://pbs.twimg.com/profile_images/889324627725570048/zHy_wKvd.jpg","View")</f>
        <v>View</v>
      </c>
    </row>
    <row r="2455" spans="1:21" ht="61.2">
      <c r="A2455" s="6">
        <v>43423.970046296294</v>
      </c>
      <c r="B2455" s="7" t="str">
        <f>HYPERLINK("https://twitter.com/mangelsgudayol","@mangelsgudayol")</f>
        <v>@mangelsgudayol</v>
      </c>
      <c r="C2455" s="8" t="s">
        <v>6054</v>
      </c>
      <c r="D2455" s="9" t="s">
        <v>6055</v>
      </c>
      <c r="E2455" s="10" t="str">
        <f>HYPERLINK("https://twitter.com/mangelsgudayol/status/1064643699664134144","1064643699664134144")</f>
        <v>1064643699664134144</v>
      </c>
      <c r="F2455" s="12"/>
      <c r="G2455" s="12"/>
      <c r="H2455" s="12"/>
      <c r="I2455" s="13">
        <v>0</v>
      </c>
      <c r="J2455" s="13">
        <v>1</v>
      </c>
      <c r="K2455" s="14" t="str">
        <f t="shared" si="523"/>
        <v>Twitter Web Client</v>
      </c>
      <c r="L2455" s="13">
        <v>869</v>
      </c>
      <c r="M2455" s="13">
        <v>729</v>
      </c>
      <c r="N2455" s="13">
        <v>11</v>
      </c>
      <c r="O2455" s="15"/>
      <c r="P2455" s="6">
        <v>40698.755474537036</v>
      </c>
      <c r="Q2455" s="16" t="s">
        <v>214</v>
      </c>
      <c r="R2455" s="17" t="s">
        <v>6056</v>
      </c>
      <c r="S2455" s="11" t="s">
        <v>6057</v>
      </c>
      <c r="T2455" s="12"/>
      <c r="U2455" s="10" t="str">
        <f>HYPERLINK("https://pbs.twimg.com/profile_images/629050815622156289/d4fYqjtL.png","View")</f>
        <v>View</v>
      </c>
    </row>
    <row r="2456" spans="1:21" ht="51">
      <c r="A2456" s="6">
        <v>43423.970011574071</v>
      </c>
      <c r="B2456" s="7" t="str">
        <f>HYPERLINK("https://twitter.com/JPOMBOPAK","@JPOMBOPAK")</f>
        <v>@JPOMBOPAK</v>
      </c>
      <c r="C2456" s="8" t="s">
        <v>1321</v>
      </c>
      <c r="D2456" s="9" t="s">
        <v>6060</v>
      </c>
      <c r="E2456" s="10" t="str">
        <f>HYPERLINK("https://twitter.com/JPOMBOPAK/status/1064643687886528517","1064643687886528517")</f>
        <v>1064643687886528517</v>
      </c>
      <c r="F2456" s="11" t="s">
        <v>6062</v>
      </c>
      <c r="G2456" s="12"/>
      <c r="H2456" s="12"/>
      <c r="I2456" s="13">
        <v>13</v>
      </c>
      <c r="J2456" s="13">
        <v>9</v>
      </c>
      <c r="K2456" s="14" t="str">
        <f>HYPERLINK("http://twitter.com/download/android","Twitter for Android")</f>
        <v>Twitter for Android</v>
      </c>
      <c r="L2456" s="13">
        <v>4548</v>
      </c>
      <c r="M2456" s="13">
        <v>2983</v>
      </c>
      <c r="N2456" s="13">
        <v>43</v>
      </c>
      <c r="O2456" s="15"/>
      <c r="P2456" s="6">
        <v>40938.632858796293</v>
      </c>
      <c r="Q2456" s="16" t="s">
        <v>37</v>
      </c>
      <c r="R2456" s="17" t="s">
        <v>1324</v>
      </c>
      <c r="S2456" s="11" t="s">
        <v>1325</v>
      </c>
      <c r="T2456" s="12"/>
      <c r="U2456" s="10" t="str">
        <f>HYPERLINK("https://pbs.twimg.com/profile_images/1062413955811942400/J2jpuBPM.jpg","View")</f>
        <v>View</v>
      </c>
    </row>
    <row r="2457" spans="1:21" ht="30.6">
      <c r="A2457" s="6">
        <v>43423.969398148147</v>
      </c>
      <c r="B2457" s="7" t="str">
        <f>HYPERLINK("https://twitter.com/saratinajero","@saratinajero")</f>
        <v>@saratinajero</v>
      </c>
      <c r="C2457" s="8" t="s">
        <v>5815</v>
      </c>
      <c r="D2457" s="9" t="s">
        <v>7950</v>
      </c>
      <c r="E2457" s="10" t="str">
        <f>HYPERLINK("https://twitter.com/saratinajero/status/1064643463189278720","1064643463189278720")</f>
        <v>1064643463189278720</v>
      </c>
      <c r="F2457" s="12"/>
      <c r="G2457" s="11" t="s">
        <v>7951</v>
      </c>
      <c r="H2457" s="12"/>
      <c r="I2457" s="13">
        <v>1</v>
      </c>
      <c r="J2457" s="13">
        <v>1</v>
      </c>
      <c r="K2457" s="14" t="str">
        <f>HYPERLINK("http://twitter.com/download/iphone","Twitter for iPhone")</f>
        <v>Twitter for iPhone</v>
      </c>
      <c r="L2457" s="13">
        <v>64</v>
      </c>
      <c r="M2457" s="13">
        <v>77</v>
      </c>
      <c r="N2457" s="13">
        <v>2</v>
      </c>
      <c r="O2457" s="15"/>
      <c r="P2457" s="6">
        <v>40565.754710648151</v>
      </c>
      <c r="Q2457" s="16" t="s">
        <v>3785</v>
      </c>
      <c r="R2457" s="19"/>
      <c r="S2457" s="12"/>
      <c r="T2457" s="12"/>
      <c r="U2457" s="10" t="str">
        <f>HYPERLINK("https://pbs.twimg.com/profile_images/750102403941330945/gEhPyasJ.jpg","View")</f>
        <v>View</v>
      </c>
    </row>
    <row r="2458" spans="1:21" ht="40.799999999999997">
      <c r="A2458" s="6">
        <v>43423.969212962962</v>
      </c>
      <c r="B2458" s="7" t="str">
        <f>HYPERLINK("https://twitter.com/jasmiralles","@jasmiralles")</f>
        <v>@jasmiralles</v>
      </c>
      <c r="C2458" s="8" t="s">
        <v>6063</v>
      </c>
      <c r="D2458" s="9" t="s">
        <v>6064</v>
      </c>
      <c r="E2458" s="10" t="str">
        <f>HYPERLINK("https://twitter.com/jasmiralles/status/1064643395279298565","1064643395279298565")</f>
        <v>1064643395279298565</v>
      </c>
      <c r="F2458" s="12"/>
      <c r="G2458" s="12"/>
      <c r="H2458" s="12"/>
      <c r="I2458" s="13">
        <v>0</v>
      </c>
      <c r="J2458" s="13">
        <v>0</v>
      </c>
      <c r="K2458" s="14" t="str">
        <f>HYPERLINK("http://twitter.com","Twitter Web Client")</f>
        <v>Twitter Web Client</v>
      </c>
      <c r="L2458" s="13">
        <v>1018</v>
      </c>
      <c r="M2458" s="13">
        <v>1309</v>
      </c>
      <c r="N2458" s="13">
        <v>13</v>
      </c>
      <c r="O2458" s="15"/>
      <c r="P2458" s="6">
        <v>40247.551701388889</v>
      </c>
      <c r="Q2458" s="16" t="s">
        <v>6065</v>
      </c>
      <c r="R2458" s="17" t="s">
        <v>6066</v>
      </c>
      <c r="S2458" s="12"/>
      <c r="T2458" s="12"/>
      <c r="U2458" s="10" t="str">
        <f>HYPERLINK("https://pbs.twimg.com/profile_images/1063752661906923521/NGyExZSh.jpg","View")</f>
        <v>View</v>
      </c>
    </row>
    <row r="2459" spans="1:21" ht="40.799999999999997">
      <c r="A2459" s="6">
        <v>43423.966469907406</v>
      </c>
      <c r="B2459" s="7" t="str">
        <f>HYPERLINK("https://twitter.com/MiguelAngel_RB","@MiguelAngel_RB")</f>
        <v>@MiguelAngel_RB</v>
      </c>
      <c r="C2459" s="8" t="s">
        <v>7952</v>
      </c>
      <c r="D2459" s="9" t="s">
        <v>7953</v>
      </c>
      <c r="E2459" s="10" t="str">
        <f>HYPERLINK("https://twitter.com/MiguelAngel_RB/status/1064642403963977736","1064642403963977736")</f>
        <v>1064642403963977736</v>
      </c>
      <c r="F2459" s="12"/>
      <c r="G2459" s="12"/>
      <c r="H2459" s="12"/>
      <c r="I2459" s="13">
        <v>0</v>
      </c>
      <c r="J2459" s="13">
        <v>0</v>
      </c>
      <c r="K2459" s="14" t="str">
        <f t="shared" ref="K2459:K2462" si="524">HYPERLINK("http://twitter.com/download/android","Twitter for Android")</f>
        <v>Twitter for Android</v>
      </c>
      <c r="L2459" s="13">
        <v>1756</v>
      </c>
      <c r="M2459" s="13">
        <v>1593</v>
      </c>
      <c r="N2459" s="13">
        <v>31</v>
      </c>
      <c r="O2459" s="15"/>
      <c r="P2459" s="6">
        <v>40288.021886574075</v>
      </c>
      <c r="Q2459" s="16" t="s">
        <v>662</v>
      </c>
      <c r="R2459" s="17" t="s">
        <v>7954</v>
      </c>
      <c r="S2459" s="11" t="s">
        <v>7955</v>
      </c>
      <c r="T2459" s="12"/>
      <c r="U2459" s="10" t="str">
        <f>HYPERLINK("https://pbs.twimg.com/profile_images/968040063203504129/lESkD4sx.jpg","View")</f>
        <v>View</v>
      </c>
    </row>
    <row r="2460" spans="1:21" ht="40.799999999999997">
      <c r="A2460" s="6">
        <v>43423.966342592597</v>
      </c>
      <c r="B2460" s="7" t="str">
        <f>HYPERLINK("https://twitter.com/lolojools","@lolojools")</f>
        <v>@lolojools</v>
      </c>
      <c r="C2460" s="8" t="s">
        <v>7956</v>
      </c>
      <c r="D2460" s="9" t="s">
        <v>7957</v>
      </c>
      <c r="E2460" s="10" t="str">
        <f>HYPERLINK("https://twitter.com/lolojools/status/1064642355658141696","1064642355658141696")</f>
        <v>1064642355658141696</v>
      </c>
      <c r="F2460" s="12"/>
      <c r="G2460" s="12"/>
      <c r="H2460" s="12"/>
      <c r="I2460" s="13">
        <v>5</v>
      </c>
      <c r="J2460" s="13">
        <v>5</v>
      </c>
      <c r="K2460" s="14" t="str">
        <f t="shared" si="524"/>
        <v>Twitter for Android</v>
      </c>
      <c r="L2460" s="13">
        <v>501</v>
      </c>
      <c r="M2460" s="13">
        <v>348</v>
      </c>
      <c r="N2460" s="13">
        <v>3</v>
      </c>
      <c r="O2460" s="15"/>
      <c r="P2460" s="6">
        <v>39474.536203703705</v>
      </c>
      <c r="Q2460" s="16" t="s">
        <v>3505</v>
      </c>
      <c r="R2460" s="17" t="s">
        <v>7958</v>
      </c>
      <c r="S2460" s="12"/>
      <c r="T2460" s="12"/>
      <c r="U2460" s="10" t="str">
        <f>HYPERLINK("https://pbs.twimg.com/profile_images/678542098396815360/xIUoSRDB.jpg","View")</f>
        <v>View</v>
      </c>
    </row>
    <row r="2461" spans="1:21" ht="51">
      <c r="A2461" s="6">
        <v>43423.96570601852</v>
      </c>
      <c r="B2461" s="7" t="str">
        <f>HYPERLINK("https://twitter.com/LuisJavierSanj2","@LuisJavierSanj2")</f>
        <v>@LuisJavierSanj2</v>
      </c>
      <c r="C2461" s="8" t="s">
        <v>2648</v>
      </c>
      <c r="D2461" s="9" t="s">
        <v>7959</v>
      </c>
      <c r="E2461" s="10" t="str">
        <f>HYPERLINK("https://twitter.com/LuisJavierSanj2/status/1064642124279410693","1064642124279410693")</f>
        <v>1064642124279410693</v>
      </c>
      <c r="F2461" s="11" t="s">
        <v>7960</v>
      </c>
      <c r="G2461" s="12"/>
      <c r="H2461" s="12"/>
      <c r="I2461" s="13">
        <v>0</v>
      </c>
      <c r="J2461" s="13">
        <v>1</v>
      </c>
      <c r="K2461" s="14" t="str">
        <f t="shared" si="524"/>
        <v>Twitter for Android</v>
      </c>
      <c r="L2461" s="13">
        <v>809</v>
      </c>
      <c r="M2461" s="13">
        <v>1236</v>
      </c>
      <c r="N2461" s="13">
        <v>1</v>
      </c>
      <c r="O2461" s="15"/>
      <c r="P2461" s="6">
        <v>43017.871759259258</v>
      </c>
      <c r="Q2461" s="12"/>
      <c r="R2461" s="17" t="s">
        <v>2655</v>
      </c>
      <c r="S2461" s="12"/>
      <c r="T2461" s="12"/>
      <c r="U2461" s="10" t="str">
        <f>HYPERLINK("https://pbs.twimg.com/profile_images/983037090681245696/C-KQIcbF.jpg","View")</f>
        <v>View</v>
      </c>
    </row>
    <row r="2462" spans="1:21" ht="20.399999999999999">
      <c r="A2462" s="6">
        <v>43423.962974537033</v>
      </c>
      <c r="B2462" s="7" t="str">
        <f>HYPERLINK("https://twitter.com/Danicar83dani","@Danicar83dani")</f>
        <v>@Danicar83dani</v>
      </c>
      <c r="C2462" s="8" t="s">
        <v>7961</v>
      </c>
      <c r="D2462" s="9" t="s">
        <v>7962</v>
      </c>
      <c r="E2462" s="10" t="str">
        <f>HYPERLINK("https://twitter.com/Danicar83dani/status/1064641134784327685","1064641134784327685")</f>
        <v>1064641134784327685</v>
      </c>
      <c r="F2462" s="12"/>
      <c r="G2462" s="12"/>
      <c r="H2462" s="12"/>
      <c r="I2462" s="13">
        <v>1</v>
      </c>
      <c r="J2462" s="13">
        <v>0</v>
      </c>
      <c r="K2462" s="14" t="str">
        <f t="shared" si="524"/>
        <v>Twitter for Android</v>
      </c>
      <c r="L2462" s="13">
        <v>1227</v>
      </c>
      <c r="M2462" s="13">
        <v>2599</v>
      </c>
      <c r="N2462" s="13">
        <v>14</v>
      </c>
      <c r="O2462" s="15"/>
      <c r="P2462" s="6">
        <v>40884.666331018518</v>
      </c>
      <c r="Q2462" s="12"/>
      <c r="R2462" s="19"/>
      <c r="S2462" s="12"/>
      <c r="T2462" s="12"/>
      <c r="U2462" s="10" t="str">
        <f>HYPERLINK("https://pbs.twimg.com/profile_images/378800000252035939/5071438d84216ec6ca91d834608eda0a.jpeg","View")</f>
        <v>View</v>
      </c>
    </row>
    <row r="2463" spans="1:21" ht="20.399999999999999">
      <c r="A2463" s="6">
        <v>43423.962546296301</v>
      </c>
      <c r="B2463" s="7" t="str">
        <f>HYPERLINK("https://twitter.com/CotoMarin","@CotoMarin")</f>
        <v>@CotoMarin</v>
      </c>
      <c r="C2463" s="8" t="s">
        <v>6067</v>
      </c>
      <c r="D2463" s="9" t="s">
        <v>6068</v>
      </c>
      <c r="E2463" s="10" t="str">
        <f>HYPERLINK("https://twitter.com/CotoMarin/status/1064640981717405696","1064640981717405696")</f>
        <v>1064640981717405696</v>
      </c>
      <c r="F2463" s="12"/>
      <c r="G2463" s="11" t="s">
        <v>6069</v>
      </c>
      <c r="H2463" s="12"/>
      <c r="I2463" s="13">
        <v>0</v>
      </c>
      <c r="J2463" s="13">
        <v>3</v>
      </c>
      <c r="K2463" s="14" t="str">
        <f>HYPERLINK("http://twitter.com","Twitter Web Client")</f>
        <v>Twitter Web Client</v>
      </c>
      <c r="L2463" s="13">
        <v>2575</v>
      </c>
      <c r="M2463" s="13">
        <v>1816</v>
      </c>
      <c r="N2463" s="13">
        <v>49</v>
      </c>
      <c r="O2463" s="15"/>
      <c r="P2463" s="6">
        <v>40508.00545138889</v>
      </c>
      <c r="Q2463" s="12"/>
      <c r="R2463" s="17" t="s">
        <v>6070</v>
      </c>
      <c r="S2463" s="12"/>
      <c r="T2463" s="12"/>
      <c r="U2463" s="10" t="str">
        <f>HYPERLINK("https://pbs.twimg.com/profile_images/991727970342629376/COy9W0it.jpg","View")</f>
        <v>View</v>
      </c>
    </row>
    <row r="2464" spans="1:21" ht="30.6">
      <c r="A2464" s="6">
        <v>43423.962152777778</v>
      </c>
      <c r="B2464" s="7" t="str">
        <f>HYPERLINK("https://twitter.com/pepemsanchez","@pepemsanchez")</f>
        <v>@pepemsanchez</v>
      </c>
      <c r="C2464" s="8" t="s">
        <v>7963</v>
      </c>
      <c r="D2464" s="9" t="s">
        <v>7964</v>
      </c>
      <c r="E2464" s="10" t="str">
        <f>HYPERLINK("https://twitter.com/pepemsanchez/status/1064640838079262721","1064640838079262721")</f>
        <v>1064640838079262721</v>
      </c>
      <c r="F2464" s="12"/>
      <c r="G2464" s="12"/>
      <c r="H2464" s="12"/>
      <c r="I2464" s="13">
        <v>17</v>
      </c>
      <c r="J2464" s="13">
        <v>16</v>
      </c>
      <c r="K2464" s="14" t="str">
        <f>HYPERLINK("http://twitter.com/#!/download/ipad","Twitter for iPad")</f>
        <v>Twitter for iPad</v>
      </c>
      <c r="L2464" s="13">
        <v>4282</v>
      </c>
      <c r="M2464" s="13">
        <v>922</v>
      </c>
      <c r="N2464" s="13">
        <v>60</v>
      </c>
      <c r="O2464" s="15"/>
      <c r="P2464" s="6">
        <v>40784.455497685187</v>
      </c>
      <c r="Q2464" s="16" t="s">
        <v>662</v>
      </c>
      <c r="R2464" s="17" t="s">
        <v>7965</v>
      </c>
      <c r="S2464" s="12"/>
      <c r="T2464" s="12"/>
      <c r="U2464" s="10" t="str">
        <f>HYPERLINK("https://pbs.twimg.com/profile_images/809091484674916352/yEi1EN8v.jpg","View")</f>
        <v>View</v>
      </c>
    </row>
    <row r="2465" spans="1:21" ht="40.799999999999997">
      <c r="A2465" s="6">
        <v>43423.962060185186</v>
      </c>
      <c r="B2465" s="7" t="str">
        <f>HYPERLINK("https://twitter.com/mule_moya","@mule_moya")</f>
        <v>@mule_moya</v>
      </c>
      <c r="C2465" s="8" t="s">
        <v>7966</v>
      </c>
      <c r="D2465" s="9" t="s">
        <v>7967</v>
      </c>
      <c r="E2465" s="10" t="str">
        <f>HYPERLINK("https://twitter.com/mule_moya/status/1064640805367894016","1064640805367894016")</f>
        <v>1064640805367894016</v>
      </c>
      <c r="F2465" s="12"/>
      <c r="G2465" s="11" t="s">
        <v>7968</v>
      </c>
      <c r="H2465" s="12"/>
      <c r="I2465" s="13">
        <v>0</v>
      </c>
      <c r="J2465" s="13">
        <v>1</v>
      </c>
      <c r="K2465" s="14" t="str">
        <f t="shared" ref="K2465:K2466" si="525">HYPERLINK("http://twitter.com/download/android","Twitter for Android")</f>
        <v>Twitter for Android</v>
      </c>
      <c r="L2465" s="13">
        <v>196</v>
      </c>
      <c r="M2465" s="13">
        <v>433</v>
      </c>
      <c r="N2465" s="13">
        <v>4</v>
      </c>
      <c r="O2465" s="15"/>
      <c r="P2465" s="6">
        <v>40960.379479166666</v>
      </c>
      <c r="Q2465" s="12"/>
      <c r="R2465" s="17" t="s">
        <v>7969</v>
      </c>
      <c r="S2465" s="12"/>
      <c r="T2465" s="12"/>
      <c r="U2465" s="10" t="str">
        <f>HYPERLINK("https://pbs.twimg.com/profile_images/747900508866641920/EZO88-mv.jpg","View")</f>
        <v>View</v>
      </c>
    </row>
    <row r="2466" spans="1:21" ht="30.6">
      <c r="A2466" s="6">
        <v>43423.9609375</v>
      </c>
      <c r="B2466" s="7" t="str">
        <f>HYPERLINK("https://twitter.com/Ortizglezcar","@Ortizglezcar")</f>
        <v>@Ortizglezcar</v>
      </c>
      <c r="C2466" s="8" t="s">
        <v>7970</v>
      </c>
      <c r="D2466" s="9" t="s">
        <v>7971</v>
      </c>
      <c r="E2466" s="10" t="str">
        <f>HYPERLINK("https://twitter.com/Ortizglezcar/status/1064640398843367424","1064640398843367424")</f>
        <v>1064640398843367424</v>
      </c>
      <c r="F2466" s="12"/>
      <c r="G2466" s="12"/>
      <c r="H2466" s="12"/>
      <c r="I2466" s="13">
        <v>5</v>
      </c>
      <c r="J2466" s="13">
        <v>2</v>
      </c>
      <c r="K2466" s="14" t="str">
        <f t="shared" si="525"/>
        <v>Twitter for Android</v>
      </c>
      <c r="L2466" s="13">
        <v>658</v>
      </c>
      <c r="M2466" s="13">
        <v>568</v>
      </c>
      <c r="N2466" s="13">
        <v>9</v>
      </c>
      <c r="O2466" s="15"/>
      <c r="P2466" s="6">
        <v>41100.111412037033</v>
      </c>
      <c r="Q2466" s="12"/>
      <c r="R2466" s="17" t="s">
        <v>7972</v>
      </c>
      <c r="S2466" s="12"/>
      <c r="T2466" s="12"/>
      <c r="U2466" s="10" t="str">
        <f>HYPERLINK("https://pbs.twimg.com/profile_images/1033306570292117504/Jzm5JKlt.jpg","View")</f>
        <v>View</v>
      </c>
    </row>
    <row r="2467" spans="1:21" ht="30.6">
      <c r="A2467" s="6">
        <v>43423.960370370369</v>
      </c>
      <c r="B2467" s="7" t="str">
        <f>HYPERLINK("https://twitter.com/RafaelJBorja","@RafaelJBorja")</f>
        <v>@RafaelJBorja</v>
      </c>
      <c r="C2467" s="8" t="s">
        <v>7973</v>
      </c>
      <c r="D2467" s="9" t="s">
        <v>7974</v>
      </c>
      <c r="E2467" s="10" t="str">
        <f>HYPERLINK("https://twitter.com/RafaelJBorja/status/1064640191065976832","1064640191065976832")</f>
        <v>1064640191065976832</v>
      </c>
      <c r="F2467" s="12"/>
      <c r="G2467" s="12"/>
      <c r="H2467" s="12"/>
      <c r="I2467" s="13">
        <v>1</v>
      </c>
      <c r="J2467" s="13">
        <v>1</v>
      </c>
      <c r="K2467" s="14" t="str">
        <f>HYPERLINK("http://twitter.com","Twitter Web Client")</f>
        <v>Twitter Web Client</v>
      </c>
      <c r="L2467" s="13">
        <v>6677</v>
      </c>
      <c r="M2467" s="13">
        <v>7340</v>
      </c>
      <c r="N2467" s="13">
        <v>49</v>
      </c>
      <c r="O2467" s="15"/>
      <c r="P2467" s="6">
        <v>41515.070428240739</v>
      </c>
      <c r="Q2467" s="16" t="s">
        <v>7975</v>
      </c>
      <c r="R2467" s="27" t="s">
        <v>7976</v>
      </c>
      <c r="S2467" s="12"/>
      <c r="T2467" s="12"/>
      <c r="U2467" s="10" t="str">
        <f>HYPERLINK("https://pbs.twimg.com/profile_images/1054083855311888385/vT00erU6.jpg","View")</f>
        <v>View</v>
      </c>
    </row>
    <row r="2468" spans="1:21" ht="51">
      <c r="A2468" s="6">
        <v>43423.96025462963</v>
      </c>
      <c r="B2468" s="7" t="str">
        <f>HYPERLINK("https://twitter.com/juanca_sev","@juanca_sev")</f>
        <v>@juanca_sev</v>
      </c>
      <c r="C2468" s="8" t="s">
        <v>6071</v>
      </c>
      <c r="D2468" s="9" t="s">
        <v>6072</v>
      </c>
      <c r="E2468" s="10" t="str">
        <f>HYPERLINK("https://twitter.com/juanca_sev/status/1064640149269725184","1064640149269725184")</f>
        <v>1064640149269725184</v>
      </c>
      <c r="F2468" s="12"/>
      <c r="G2468" s="12"/>
      <c r="H2468" s="12"/>
      <c r="I2468" s="13">
        <v>0</v>
      </c>
      <c r="J2468" s="13">
        <v>0</v>
      </c>
      <c r="K2468" s="14" t="str">
        <f>HYPERLINK("https://about.twitter.com/products/tweetdeck","TweetDeck")</f>
        <v>TweetDeck</v>
      </c>
      <c r="L2468" s="13">
        <v>2436</v>
      </c>
      <c r="M2468" s="13">
        <v>1000</v>
      </c>
      <c r="N2468" s="13">
        <v>69</v>
      </c>
      <c r="O2468" s="15"/>
      <c r="P2468" s="6">
        <v>40062.090787037036</v>
      </c>
      <c r="Q2468" s="16" t="s">
        <v>6075</v>
      </c>
      <c r="R2468" s="17" t="s">
        <v>6076</v>
      </c>
      <c r="S2468" s="11" t="s">
        <v>6077</v>
      </c>
      <c r="T2468" s="12"/>
      <c r="U2468" s="10" t="str">
        <f>HYPERLINK("https://pbs.twimg.com/profile_images/1063086451917762560/B8nClP5Y.jpg","View")</f>
        <v>View</v>
      </c>
    </row>
    <row r="2469" spans="1:21" ht="30.6">
      <c r="A2469" s="6">
        <v>43423.959398148145</v>
      </c>
      <c r="B2469" s="7" t="str">
        <f>HYPERLINK("https://twitter.com/TheCrazyCabra","@TheCrazyCabra")</f>
        <v>@TheCrazyCabra</v>
      </c>
      <c r="C2469" s="8" t="s">
        <v>6081</v>
      </c>
      <c r="D2469" s="9" t="s">
        <v>6082</v>
      </c>
      <c r="E2469" s="10" t="str">
        <f>HYPERLINK("https://twitter.com/TheCrazyCabra/status/1064639839637786624","1064639839637786624")</f>
        <v>1064639839637786624</v>
      </c>
      <c r="F2469" s="12"/>
      <c r="G2469" s="12"/>
      <c r="H2469" s="12"/>
      <c r="I2469" s="13">
        <v>0</v>
      </c>
      <c r="J2469" s="13">
        <v>0</v>
      </c>
      <c r="K2469" s="14" t="str">
        <f>HYPERLINK("http://twitter.com/download/android","Twitter for Android")</f>
        <v>Twitter for Android</v>
      </c>
      <c r="L2469" s="13">
        <v>12</v>
      </c>
      <c r="M2469" s="13">
        <v>42</v>
      </c>
      <c r="N2469" s="13">
        <v>0</v>
      </c>
      <c r="O2469" s="15"/>
      <c r="P2469" s="6">
        <v>41451.536469907405</v>
      </c>
      <c r="Q2469" s="12"/>
      <c r="R2469" s="19"/>
      <c r="S2469" s="12"/>
      <c r="T2469" s="12"/>
      <c r="U2469" s="10" t="str">
        <f>HYPERLINK("https://pbs.twimg.com/profile_images/1062068208537141248/Zi1wXyOu.jpg","View")</f>
        <v>View</v>
      </c>
    </row>
    <row r="2470" spans="1:21" ht="20.399999999999999">
      <c r="A2470" s="6">
        <v>43423.958425925928</v>
      </c>
      <c r="B2470" s="7" t="str">
        <f>HYPERLINK("https://twitter.com/wandalusrap","@wandalusrap")</f>
        <v>@wandalusrap</v>
      </c>
      <c r="C2470" s="8" t="s">
        <v>7977</v>
      </c>
      <c r="D2470" s="9" t="s">
        <v>1005</v>
      </c>
      <c r="E2470" s="10" t="str">
        <f>HYPERLINK("https://twitter.com/wandalusrap/status/1064639488515813376","1064639488515813376")</f>
        <v>1064639488515813376</v>
      </c>
      <c r="F2470" s="11" t="s">
        <v>6886</v>
      </c>
      <c r="G2470" s="12"/>
      <c r="H2470" s="12"/>
      <c r="I2470" s="13">
        <v>0</v>
      </c>
      <c r="J2470" s="13">
        <v>0</v>
      </c>
      <c r="K2470" s="14" t="str">
        <f>HYPERLINK("http://www.facebook.com/twitter","Facebook")</f>
        <v>Facebook</v>
      </c>
      <c r="L2470" s="13">
        <v>406</v>
      </c>
      <c r="M2470" s="13">
        <v>1398</v>
      </c>
      <c r="N2470" s="13">
        <v>2</v>
      </c>
      <c r="O2470" s="15"/>
      <c r="P2470" s="6">
        <v>41385.549340277779</v>
      </c>
      <c r="Q2470" s="12"/>
      <c r="R2470" s="17" t="s">
        <v>7978</v>
      </c>
      <c r="S2470" s="11" t="s">
        <v>7979</v>
      </c>
      <c r="T2470" s="12"/>
      <c r="U2470" s="10" t="str">
        <f>HYPERLINK("https://pbs.twimg.com/profile_images/3554916927/9658cc3c91fec9cd62b99a1aaafdfd4b.jpeg","View")</f>
        <v>View</v>
      </c>
    </row>
    <row r="2471" spans="1:21" ht="20.399999999999999">
      <c r="A2471" s="6">
        <v>43423.955358796295</v>
      </c>
      <c r="B2471" s="7" t="str">
        <f>HYPERLINK("https://twitter.com/Manuel71148673","@Manuel71148673")</f>
        <v>@Manuel71148673</v>
      </c>
      <c r="C2471" s="8" t="s">
        <v>7980</v>
      </c>
      <c r="D2471" s="9" t="s">
        <v>7981</v>
      </c>
      <c r="E2471" s="10" t="str">
        <f>HYPERLINK("https://twitter.com/Manuel71148673/status/1064638375183945731","1064638375183945731")</f>
        <v>1064638375183945731</v>
      </c>
      <c r="F2471" s="12"/>
      <c r="G2471" s="12"/>
      <c r="H2471" s="12"/>
      <c r="I2471" s="13">
        <v>0</v>
      </c>
      <c r="J2471" s="13">
        <v>1</v>
      </c>
      <c r="K2471" s="14" t="str">
        <f>HYPERLINK("http://twitter.com/download/android","Twitter for Android")</f>
        <v>Twitter for Android</v>
      </c>
      <c r="L2471" s="13">
        <v>944</v>
      </c>
      <c r="M2471" s="13">
        <v>1561</v>
      </c>
      <c r="N2471" s="13">
        <v>10</v>
      </c>
      <c r="O2471" s="15"/>
      <c r="P2471" s="6">
        <v>42261.643993055557</v>
      </c>
      <c r="Q2471" s="16" t="s">
        <v>7982</v>
      </c>
      <c r="R2471" s="17" t="s">
        <v>7983</v>
      </c>
      <c r="S2471" s="12"/>
      <c r="T2471" s="12"/>
      <c r="U2471" s="10" t="str">
        <f>HYPERLINK("https://pbs.twimg.com/profile_images/646753935567491072/7GgFHc6T.jpg","View")</f>
        <v>View</v>
      </c>
    </row>
    <row r="2472" spans="1:21" ht="20.399999999999999">
      <c r="A2472" s="6">
        <v>43423.952199074076</v>
      </c>
      <c r="B2472" s="7" t="str">
        <f>HYPERLINK("https://twitter.com/MasturbameMal","@MasturbameMal")</f>
        <v>@MasturbameMal</v>
      </c>
      <c r="C2472" s="8" t="s">
        <v>6373</v>
      </c>
      <c r="D2472" s="9" t="s">
        <v>7984</v>
      </c>
      <c r="E2472" s="10" t="str">
        <f>HYPERLINK("https://twitter.com/MasturbameMal/status/1064637231992844289","1064637231992844289")</f>
        <v>1064637231992844289</v>
      </c>
      <c r="F2472" s="12"/>
      <c r="G2472" s="12"/>
      <c r="H2472" s="12"/>
      <c r="I2472" s="13">
        <v>0</v>
      </c>
      <c r="J2472" s="13">
        <v>1</v>
      </c>
      <c r="K2472" s="14" t="str">
        <f>HYPERLINK("http://twitter.com/download/iphone","Twitter for iPhone")</f>
        <v>Twitter for iPhone</v>
      </c>
      <c r="L2472" s="13">
        <v>96</v>
      </c>
      <c r="M2472" s="13">
        <v>217</v>
      </c>
      <c r="N2472" s="13">
        <v>0</v>
      </c>
      <c r="O2472" s="15"/>
      <c r="P2472" s="6">
        <v>42948.561168981483</v>
      </c>
      <c r="Q2472" s="16" t="s">
        <v>6375</v>
      </c>
      <c r="R2472" s="17" t="s">
        <v>6376</v>
      </c>
      <c r="S2472" s="12"/>
      <c r="T2472" s="12"/>
      <c r="U2472" s="10" t="str">
        <f>HYPERLINK("https://pbs.twimg.com/profile_images/1062801617060274178/Qi2KAOHn.jpg","View")</f>
        <v>View</v>
      </c>
    </row>
    <row r="2473" spans="1:21" ht="30.6">
      <c r="A2473" s="6">
        <v>43423.951747685191</v>
      </c>
      <c r="B2473" s="7" t="str">
        <f>HYPERLINK("https://twitter.com/IgnacioHenares","@IgnacioHenares")</f>
        <v>@IgnacioHenares</v>
      </c>
      <c r="C2473" s="8" t="s">
        <v>7985</v>
      </c>
      <c r="D2473" s="9" t="s">
        <v>7986</v>
      </c>
      <c r="E2473" s="10" t="str">
        <f>HYPERLINK("https://twitter.com/IgnacioHenares/status/1064637067123179520","1064637067123179520")</f>
        <v>1064637067123179520</v>
      </c>
      <c r="F2473" s="12"/>
      <c r="G2473" s="11" t="s">
        <v>7987</v>
      </c>
      <c r="H2473" s="12"/>
      <c r="I2473" s="13">
        <v>3</v>
      </c>
      <c r="J2473" s="13">
        <v>3</v>
      </c>
      <c r="K2473" s="14" t="str">
        <f t="shared" ref="K2473:K2474" si="526">HYPERLINK("http://twitter.com/download/android","Twitter for Android")</f>
        <v>Twitter for Android</v>
      </c>
      <c r="L2473" s="13">
        <v>2117</v>
      </c>
      <c r="M2473" s="13">
        <v>1567</v>
      </c>
      <c r="N2473" s="13">
        <v>100</v>
      </c>
      <c r="O2473" s="15"/>
      <c r="P2473" s="6">
        <v>40156.403634259259</v>
      </c>
      <c r="Q2473" s="16" t="s">
        <v>333</v>
      </c>
      <c r="R2473" s="17" t="s">
        <v>7988</v>
      </c>
      <c r="S2473" s="11" t="s">
        <v>7989</v>
      </c>
      <c r="T2473" s="12"/>
      <c r="U2473" s="10" t="str">
        <f>HYPERLINK("https://pbs.twimg.com/profile_images/1057592363596550145/sovVY3ul.jpg","View")</f>
        <v>View</v>
      </c>
    </row>
    <row r="2474" spans="1:21" ht="61.2">
      <c r="A2474" s="6">
        <v>43423.945706018523</v>
      </c>
      <c r="B2474" s="7" t="str">
        <f>HYPERLINK("https://twitter.com/AguilarZ50","@AguilarZ50")</f>
        <v>@AguilarZ50</v>
      </c>
      <c r="C2474" s="8" t="s">
        <v>6083</v>
      </c>
      <c r="D2474" s="9" t="s">
        <v>6085</v>
      </c>
      <c r="E2474" s="10" t="str">
        <f>HYPERLINK("https://twitter.com/AguilarZ50/status/1064634875888709637","1064634875888709637")</f>
        <v>1064634875888709637</v>
      </c>
      <c r="F2474" s="12"/>
      <c r="G2474" s="11" t="s">
        <v>6086</v>
      </c>
      <c r="H2474" s="12"/>
      <c r="I2474" s="13">
        <v>33</v>
      </c>
      <c r="J2474" s="13">
        <v>35</v>
      </c>
      <c r="K2474" s="14" t="str">
        <f t="shared" si="526"/>
        <v>Twitter for Android</v>
      </c>
      <c r="L2474" s="13">
        <v>352</v>
      </c>
      <c r="M2474" s="13">
        <v>97</v>
      </c>
      <c r="N2474" s="13">
        <v>0</v>
      </c>
      <c r="O2474" s="15"/>
      <c r="P2474" s="6">
        <v>43017.588738425926</v>
      </c>
      <c r="Q2474" s="12"/>
      <c r="R2474" s="17" t="s">
        <v>6087</v>
      </c>
      <c r="S2474" s="12"/>
      <c r="T2474" s="12"/>
      <c r="U2474" s="10" t="str">
        <f>HYPERLINK("https://pbs.twimg.com/profile_images/964418946676924418/ltohXwUw.jpg","View")</f>
        <v>View</v>
      </c>
    </row>
    <row r="2475" spans="1:21" ht="30.6">
      <c r="A2475" s="6">
        <v>43423.944872685184</v>
      </c>
      <c r="B2475" s="7" t="str">
        <f>HYPERLINK("https://twitter.com/ContraEscritura","@ContraEscritura")</f>
        <v>@ContraEscritura</v>
      </c>
      <c r="C2475" s="8" t="s">
        <v>7990</v>
      </c>
      <c r="D2475" s="9" t="s">
        <v>7991</v>
      </c>
      <c r="E2475" s="10" t="str">
        <f>HYPERLINK("https://twitter.com/ContraEscritura/status/1064634575966609408","1064634575966609408")</f>
        <v>1064634575966609408</v>
      </c>
      <c r="F2475" s="12"/>
      <c r="G2475" s="12"/>
      <c r="H2475" s="12"/>
      <c r="I2475" s="13">
        <v>0</v>
      </c>
      <c r="J2475" s="13">
        <v>0</v>
      </c>
      <c r="K2475" s="14" t="str">
        <f>HYPERLINK("http://twitter.com/download/iphone","Twitter for iPhone")</f>
        <v>Twitter for iPhone</v>
      </c>
      <c r="L2475" s="13">
        <v>15452</v>
      </c>
      <c r="M2475" s="13">
        <v>58</v>
      </c>
      <c r="N2475" s="13">
        <v>285</v>
      </c>
      <c r="O2475" s="15"/>
      <c r="P2475" s="6">
        <v>41017.037175925929</v>
      </c>
      <c r="Q2475" s="16" t="s">
        <v>7992</v>
      </c>
      <c r="R2475" s="17" t="s">
        <v>7993</v>
      </c>
      <c r="S2475" s="11" t="s">
        <v>7994</v>
      </c>
      <c r="T2475" s="12"/>
      <c r="U2475" s="10" t="str">
        <f>HYPERLINK("https://pbs.twimg.com/profile_images/879646489689157633/hVYor6f2.jpg","View")</f>
        <v>View</v>
      </c>
    </row>
    <row r="2476" spans="1:21" ht="30.6">
      <c r="A2476" s="6">
        <v>43423.934085648143</v>
      </c>
      <c r="B2476" s="7" t="str">
        <f>HYPERLINK("https://twitter.com/Panik81","@Panik81")</f>
        <v>@Panik81</v>
      </c>
      <c r="C2476" s="8" t="s">
        <v>1526</v>
      </c>
      <c r="D2476" s="9" t="s">
        <v>7995</v>
      </c>
      <c r="E2476" s="10" t="str">
        <f>HYPERLINK("https://twitter.com/Panik81/status/1064630668691419138","1064630668691419138")</f>
        <v>1064630668691419138</v>
      </c>
      <c r="F2476" s="12"/>
      <c r="G2476" s="12"/>
      <c r="H2476" s="12"/>
      <c r="I2476" s="13">
        <v>59</v>
      </c>
      <c r="J2476" s="13">
        <v>102</v>
      </c>
      <c r="K2476" s="14" t="str">
        <f t="shared" ref="K2476:K2477" si="527">HYPERLINK("http://twitter.com/download/android","Twitter for Android")</f>
        <v>Twitter for Android</v>
      </c>
      <c r="L2476" s="13">
        <v>12460</v>
      </c>
      <c r="M2476" s="13">
        <v>1544</v>
      </c>
      <c r="N2476" s="13">
        <v>109</v>
      </c>
      <c r="O2476" s="15"/>
      <c r="P2476" s="6">
        <v>40910.592569444445</v>
      </c>
      <c r="Q2476" s="12"/>
      <c r="R2476" s="17" t="s">
        <v>1529</v>
      </c>
      <c r="S2476" s="12"/>
      <c r="T2476" s="12"/>
      <c r="U2476" s="10" t="str">
        <f>HYPERLINK("https://pbs.twimg.com/profile_images/765530824049655808/6PS-97m7.jpg","View")</f>
        <v>View</v>
      </c>
    </row>
    <row r="2477" spans="1:21" ht="30.6">
      <c r="A2477" s="6">
        <v>43423.933923611112</v>
      </c>
      <c r="B2477" s="7" t="str">
        <f>HYPERLINK("https://twitter.com/pablitonewman","@pablitonewman")</f>
        <v>@pablitonewman</v>
      </c>
      <c r="C2477" s="8" t="s">
        <v>7941</v>
      </c>
      <c r="D2477" s="9" t="s">
        <v>7996</v>
      </c>
      <c r="E2477" s="10" t="str">
        <f>HYPERLINK("https://twitter.com/pablitonewman/status/1064630607878209537","1064630607878209537")</f>
        <v>1064630607878209537</v>
      </c>
      <c r="F2477" s="12"/>
      <c r="G2477" s="12"/>
      <c r="H2477" s="12"/>
      <c r="I2477" s="13">
        <v>2</v>
      </c>
      <c r="J2477" s="13">
        <v>5</v>
      </c>
      <c r="K2477" s="14" t="str">
        <f t="shared" si="527"/>
        <v>Twitter for Android</v>
      </c>
      <c r="L2477" s="13">
        <v>495</v>
      </c>
      <c r="M2477" s="13">
        <v>975</v>
      </c>
      <c r="N2477" s="13">
        <v>5</v>
      </c>
      <c r="O2477" s="15"/>
      <c r="P2477" s="6">
        <v>41487.752905092595</v>
      </c>
      <c r="Q2477" s="16" t="s">
        <v>7943</v>
      </c>
      <c r="R2477" s="17" t="s">
        <v>7944</v>
      </c>
      <c r="S2477" s="12"/>
      <c r="T2477" s="12"/>
      <c r="U2477" s="10" t="str">
        <f>HYPERLINK("https://pbs.twimg.com/profile_images/1017158850791837697/LMpc8meY.jpg","View")</f>
        <v>View</v>
      </c>
    </row>
    <row r="2478" spans="1:21" ht="30.6">
      <c r="A2478" s="6">
        <v>43423.932916666672</v>
      </c>
      <c r="B2478" s="7" t="str">
        <f>HYPERLINK("https://twitter.com/miguel_delarosa","@miguel_delarosa")</f>
        <v>@miguel_delarosa</v>
      </c>
      <c r="C2478" s="8" t="s">
        <v>3839</v>
      </c>
      <c r="D2478" s="9" t="s">
        <v>7997</v>
      </c>
      <c r="E2478" s="10" t="str">
        <f>HYPERLINK("https://twitter.com/miguel_delarosa/status/1064630245049991172","1064630245049991172")</f>
        <v>1064630245049991172</v>
      </c>
      <c r="F2478" s="12"/>
      <c r="G2478" s="11" t="s">
        <v>7998</v>
      </c>
      <c r="H2478" s="12"/>
      <c r="I2478" s="13">
        <v>4</v>
      </c>
      <c r="J2478" s="13">
        <v>5</v>
      </c>
      <c r="K2478" s="14" t="str">
        <f>HYPERLINK("http://twitter.com","Twitter Web Client")</f>
        <v>Twitter Web Client</v>
      </c>
      <c r="L2478" s="13">
        <v>7151</v>
      </c>
      <c r="M2478" s="13">
        <v>4665</v>
      </c>
      <c r="N2478" s="13">
        <v>117</v>
      </c>
      <c r="O2478" s="15"/>
      <c r="P2478" s="6">
        <v>40223.789398148147</v>
      </c>
      <c r="Q2478" s="16" t="s">
        <v>3841</v>
      </c>
      <c r="R2478" s="17" t="s">
        <v>3842</v>
      </c>
      <c r="S2478" s="11" t="s">
        <v>3843</v>
      </c>
      <c r="T2478" s="12"/>
      <c r="U2478" s="10" t="str">
        <f>HYPERLINK("https://pbs.twimg.com/profile_images/1062991702338822144/tsV4NF96.jpg","View")</f>
        <v>View</v>
      </c>
    </row>
    <row r="2479" spans="1:21" ht="13.2">
      <c r="A2479" s="21"/>
      <c r="B2479" s="22"/>
      <c r="C2479" s="22"/>
      <c r="D2479" s="23"/>
      <c r="E2479" s="15"/>
      <c r="F2479" s="12"/>
      <c r="G2479" s="12"/>
      <c r="H2479" s="12"/>
      <c r="I2479" s="15"/>
      <c r="J2479" s="15"/>
      <c r="K2479" s="12"/>
      <c r="L2479" s="15"/>
      <c r="M2479" s="15"/>
      <c r="N2479" s="15"/>
      <c r="O2479" s="15"/>
      <c r="P2479" s="21"/>
      <c r="Q2479" s="12"/>
      <c r="R2479" s="19"/>
      <c r="S2479" s="12"/>
      <c r="T2479" s="12"/>
      <c r="U2479" s="15"/>
    </row>
    <row r="2480" spans="1:21" ht="13.2">
      <c r="A2480" s="24"/>
      <c r="B2480" s="22"/>
      <c r="C2480" s="22"/>
      <c r="D2480" s="23"/>
      <c r="E2480" s="15"/>
      <c r="F2480" s="15"/>
      <c r="G2480" s="15"/>
      <c r="H2480" s="15"/>
      <c r="I2480" s="15"/>
      <c r="J2480" s="15"/>
      <c r="K2480" s="15"/>
      <c r="L2480" s="15"/>
      <c r="M2480" s="15"/>
      <c r="N2480" s="15"/>
      <c r="O2480" s="15"/>
      <c r="P2480" s="15"/>
      <c r="Q2480" s="12"/>
      <c r="R2480" s="19"/>
      <c r="S2480" s="15"/>
      <c r="T2480" s="15"/>
      <c r="U2480" s="15"/>
    </row>
    <row r="2481" spans="1:21" ht="13.2">
      <c r="A2481" s="24"/>
      <c r="B2481" s="22"/>
      <c r="C2481" s="22"/>
      <c r="D2481" s="23"/>
      <c r="E2481" s="15"/>
      <c r="F2481" s="15"/>
      <c r="G2481" s="15"/>
      <c r="H2481" s="15"/>
      <c r="I2481" s="15"/>
      <c r="J2481" s="15"/>
      <c r="K2481" s="15"/>
      <c r="L2481" s="15"/>
      <c r="M2481" s="15"/>
      <c r="N2481" s="15"/>
      <c r="O2481" s="15"/>
      <c r="P2481" s="15"/>
      <c r="Q2481" s="12"/>
      <c r="R2481" s="19"/>
      <c r="S2481" s="15"/>
      <c r="T2481" s="15"/>
      <c r="U2481" s="15"/>
    </row>
    <row r="2482" spans="1:21" ht="13.2">
      <c r="A2482" s="24"/>
      <c r="B2482" s="22"/>
      <c r="C2482" s="22"/>
      <c r="D2482" s="23"/>
      <c r="E2482" s="15"/>
      <c r="F2482" s="15"/>
      <c r="G2482" s="15"/>
      <c r="H2482" s="15"/>
      <c r="I2482" s="15"/>
      <c r="J2482" s="15"/>
      <c r="K2482" s="15"/>
      <c r="L2482" s="15"/>
      <c r="M2482" s="15"/>
      <c r="N2482" s="15"/>
      <c r="O2482" s="15"/>
      <c r="P2482" s="15"/>
      <c r="Q2482" s="12"/>
      <c r="R2482" s="19"/>
      <c r="S2482" s="15"/>
      <c r="T2482" s="15"/>
      <c r="U2482" s="15"/>
    </row>
    <row r="2483" spans="1:21" ht="13.2">
      <c r="A2483" s="24"/>
      <c r="B2483" s="22"/>
      <c r="C2483" s="22"/>
      <c r="D2483" s="23"/>
      <c r="E2483" s="15"/>
      <c r="F2483" s="15"/>
      <c r="G2483" s="15"/>
      <c r="H2483" s="15"/>
      <c r="I2483" s="15"/>
      <c r="J2483" s="15"/>
      <c r="K2483" s="15"/>
      <c r="L2483" s="15"/>
      <c r="M2483" s="15"/>
      <c r="N2483" s="15"/>
      <c r="O2483" s="15"/>
      <c r="P2483" s="15"/>
      <c r="Q2483" s="12"/>
      <c r="R2483" s="19"/>
      <c r="S2483" s="15"/>
      <c r="T2483" s="15"/>
      <c r="U2483" s="15"/>
    </row>
    <row r="2484" spans="1:21" ht="13.2">
      <c r="A2484" s="24"/>
      <c r="B2484" s="22"/>
      <c r="C2484" s="22"/>
      <c r="D2484" s="23"/>
      <c r="E2484" s="15"/>
      <c r="F2484" s="15"/>
      <c r="G2484" s="15"/>
      <c r="H2484" s="15"/>
      <c r="I2484" s="15"/>
      <c r="J2484" s="15"/>
      <c r="K2484" s="15"/>
      <c r="L2484" s="15"/>
      <c r="M2484" s="15"/>
      <c r="N2484" s="15"/>
      <c r="O2484" s="15"/>
      <c r="P2484" s="15"/>
      <c r="Q2484" s="12"/>
      <c r="R2484" s="19"/>
      <c r="S2484" s="15"/>
      <c r="T2484" s="15"/>
      <c r="U2484" s="15"/>
    </row>
    <row r="2485" spans="1:21" ht="13.2">
      <c r="A2485" s="24"/>
      <c r="B2485" s="22"/>
      <c r="C2485" s="22"/>
      <c r="D2485" s="23"/>
      <c r="E2485" s="15"/>
      <c r="F2485" s="15"/>
      <c r="G2485" s="15"/>
      <c r="H2485" s="15"/>
      <c r="I2485" s="15"/>
      <c r="J2485" s="15"/>
      <c r="K2485" s="15"/>
      <c r="L2485" s="15"/>
      <c r="M2485" s="15"/>
      <c r="N2485" s="15"/>
      <c r="O2485" s="15"/>
      <c r="P2485" s="15"/>
      <c r="Q2485" s="12"/>
      <c r="R2485" s="19"/>
      <c r="S2485" s="15"/>
      <c r="T2485" s="15"/>
      <c r="U2485" s="15"/>
    </row>
    <row r="2486" spans="1:21" ht="13.2">
      <c r="A2486" s="18"/>
      <c r="B2486" s="22"/>
      <c r="C2486" s="22"/>
      <c r="D2486" s="23"/>
      <c r="E2486" s="15"/>
      <c r="F2486" s="15"/>
      <c r="G2486" s="15"/>
      <c r="H2486" s="15"/>
      <c r="I2486" s="15"/>
      <c r="J2486" s="15"/>
      <c r="K2486" s="15"/>
      <c r="L2486" s="15"/>
      <c r="M2486" s="15"/>
      <c r="N2486" s="15"/>
      <c r="O2486" s="15"/>
      <c r="P2486" s="15"/>
      <c r="Q2486" s="12"/>
      <c r="R2486" s="19"/>
      <c r="S2486" s="15"/>
      <c r="T2486" s="15"/>
      <c r="U2486" s="15"/>
    </row>
    <row r="2487" spans="1:21" ht="13.2">
      <c r="A2487" s="24"/>
      <c r="B2487" s="22"/>
      <c r="C2487" s="22"/>
      <c r="D2487" s="23"/>
      <c r="E2487" s="15"/>
      <c r="F2487" s="15"/>
      <c r="G2487" s="15"/>
      <c r="H2487" s="15"/>
      <c r="I2487" s="15"/>
      <c r="J2487" s="15"/>
      <c r="K2487" s="15"/>
      <c r="L2487" s="15"/>
      <c r="M2487" s="15"/>
      <c r="N2487" s="15"/>
      <c r="O2487" s="15"/>
      <c r="P2487" s="15"/>
      <c r="Q2487" s="12"/>
      <c r="R2487" s="19"/>
      <c r="S2487" s="15"/>
      <c r="T2487" s="15"/>
      <c r="U2487" s="15"/>
    </row>
    <row r="2488" spans="1:21" ht="13.2">
      <c r="A2488" s="24"/>
      <c r="B2488" s="22"/>
      <c r="C2488" s="22"/>
      <c r="D2488" s="23"/>
      <c r="E2488" s="15"/>
      <c r="F2488" s="15"/>
      <c r="G2488" s="15"/>
      <c r="H2488" s="15"/>
      <c r="I2488" s="15"/>
      <c r="J2488" s="15"/>
      <c r="K2488" s="15"/>
      <c r="L2488" s="15"/>
      <c r="M2488" s="15"/>
      <c r="N2488" s="15"/>
      <c r="O2488" s="15"/>
      <c r="P2488" s="15"/>
      <c r="Q2488" s="12"/>
      <c r="R2488" s="19"/>
      <c r="S2488" s="15"/>
      <c r="T2488" s="15"/>
      <c r="U2488" s="15"/>
    </row>
    <row r="2489" spans="1:21" ht="13.2">
      <c r="A2489" s="24"/>
      <c r="B2489" s="22"/>
      <c r="C2489" s="22"/>
      <c r="D2489" s="23"/>
      <c r="E2489" s="15"/>
      <c r="F2489" s="15"/>
      <c r="G2489" s="15"/>
      <c r="H2489" s="15"/>
      <c r="I2489" s="15"/>
      <c r="J2489" s="15"/>
      <c r="K2489" s="15"/>
      <c r="L2489" s="15"/>
      <c r="M2489" s="15"/>
      <c r="N2489" s="15"/>
      <c r="O2489" s="15"/>
      <c r="P2489" s="15"/>
      <c r="Q2489" s="12"/>
      <c r="R2489" s="19"/>
      <c r="S2489" s="15"/>
      <c r="T2489" s="15"/>
      <c r="U2489" s="15"/>
    </row>
    <row r="2490" spans="1:21" ht="13.2">
      <c r="A2490" s="24"/>
      <c r="B2490" s="22"/>
      <c r="C2490" s="22"/>
      <c r="D2490" s="23"/>
      <c r="E2490" s="15"/>
      <c r="F2490" s="15"/>
      <c r="G2490" s="15"/>
      <c r="H2490" s="15"/>
      <c r="I2490" s="15"/>
      <c r="J2490" s="15"/>
      <c r="K2490" s="15"/>
      <c r="L2490" s="15"/>
      <c r="M2490" s="15"/>
      <c r="N2490" s="15"/>
      <c r="O2490" s="15"/>
      <c r="P2490" s="15"/>
      <c r="Q2490" s="12"/>
      <c r="R2490" s="19"/>
      <c r="S2490" s="15"/>
      <c r="T2490" s="15"/>
      <c r="U2490" s="15"/>
    </row>
    <row r="2491" spans="1:21" ht="13.2">
      <c r="A2491" s="24"/>
      <c r="B2491" s="22"/>
      <c r="C2491" s="22"/>
      <c r="D2491" s="23"/>
      <c r="E2491" s="15"/>
      <c r="F2491" s="15"/>
      <c r="G2491" s="15"/>
      <c r="H2491" s="15"/>
      <c r="I2491" s="15"/>
      <c r="J2491" s="15"/>
      <c r="K2491" s="15"/>
      <c r="L2491" s="15"/>
      <c r="M2491" s="15"/>
      <c r="N2491" s="15"/>
      <c r="O2491" s="15"/>
      <c r="P2491" s="15"/>
      <c r="Q2491" s="12"/>
      <c r="R2491" s="19"/>
      <c r="S2491" s="15"/>
      <c r="T2491" s="15"/>
      <c r="U2491" s="15"/>
    </row>
    <row r="2492" spans="1:21" ht="13.2">
      <c r="A2492" s="24"/>
      <c r="B2492" s="22"/>
      <c r="C2492" s="22"/>
      <c r="D2492" s="23"/>
      <c r="E2492" s="15"/>
      <c r="F2492" s="15"/>
      <c r="G2492" s="15"/>
      <c r="H2492" s="15"/>
      <c r="I2492" s="15"/>
      <c r="J2492" s="15"/>
      <c r="K2492" s="15"/>
      <c r="L2492" s="15"/>
      <c r="M2492" s="15"/>
      <c r="N2492" s="15"/>
      <c r="O2492" s="15"/>
      <c r="P2492" s="15"/>
      <c r="Q2492" s="12"/>
      <c r="R2492" s="19"/>
      <c r="S2492" s="15"/>
      <c r="T2492" s="15"/>
      <c r="U2492" s="15"/>
    </row>
    <row r="2493" spans="1:21" ht="13.2">
      <c r="A2493" s="24"/>
      <c r="B2493" s="22"/>
      <c r="C2493" s="22"/>
      <c r="D2493" s="23"/>
      <c r="E2493" s="15"/>
      <c r="F2493" s="15"/>
      <c r="G2493" s="15"/>
      <c r="H2493" s="15"/>
      <c r="I2493" s="15"/>
      <c r="J2493" s="15"/>
      <c r="K2493" s="15"/>
      <c r="L2493" s="15"/>
      <c r="M2493" s="15"/>
      <c r="N2493" s="15"/>
      <c r="O2493" s="15"/>
      <c r="P2493" s="15"/>
      <c r="Q2493" s="12"/>
      <c r="R2493" s="19"/>
      <c r="S2493" s="15"/>
      <c r="T2493" s="15"/>
      <c r="U2493" s="15"/>
    </row>
    <row r="2494" spans="1:21" ht="13.2">
      <c r="A2494" s="24"/>
      <c r="B2494" s="22"/>
      <c r="C2494" s="22"/>
      <c r="D2494" s="23"/>
      <c r="E2494" s="15"/>
      <c r="F2494" s="15"/>
      <c r="G2494" s="15"/>
      <c r="H2494" s="15"/>
      <c r="I2494" s="15"/>
      <c r="J2494" s="15"/>
      <c r="K2494" s="15"/>
      <c r="L2494" s="15"/>
      <c r="M2494" s="15"/>
      <c r="N2494" s="15"/>
      <c r="O2494" s="15"/>
      <c r="P2494" s="15"/>
      <c r="Q2494" s="12"/>
      <c r="R2494" s="19"/>
      <c r="S2494" s="15"/>
      <c r="T2494" s="15"/>
      <c r="U2494" s="15"/>
    </row>
    <row r="2495" spans="1:21" ht="13.2">
      <c r="A2495" s="24"/>
      <c r="B2495" s="22"/>
      <c r="C2495" s="22"/>
      <c r="D2495" s="23"/>
      <c r="E2495" s="15"/>
      <c r="F2495" s="15"/>
      <c r="G2495" s="15"/>
      <c r="H2495" s="15"/>
      <c r="I2495" s="15"/>
      <c r="J2495" s="15"/>
      <c r="K2495" s="15"/>
      <c r="L2495" s="15"/>
      <c r="M2495" s="15"/>
      <c r="N2495" s="15"/>
      <c r="O2495" s="15"/>
      <c r="P2495" s="15"/>
      <c r="Q2495" s="12"/>
      <c r="R2495" s="19"/>
      <c r="S2495" s="15"/>
      <c r="T2495" s="15"/>
      <c r="U2495" s="15"/>
    </row>
    <row r="2496" spans="1:21" ht="13.2">
      <c r="A2496" s="24"/>
      <c r="B2496" s="22"/>
      <c r="C2496" s="22"/>
      <c r="D2496" s="23"/>
      <c r="E2496" s="15"/>
      <c r="F2496" s="15"/>
      <c r="G2496" s="15"/>
      <c r="H2496" s="15"/>
      <c r="I2496" s="15"/>
      <c r="J2496" s="15"/>
      <c r="K2496" s="15"/>
      <c r="L2496" s="15"/>
      <c r="M2496" s="15"/>
      <c r="N2496" s="15"/>
      <c r="O2496" s="15"/>
      <c r="P2496" s="15"/>
      <c r="Q2496" s="12"/>
      <c r="R2496" s="19"/>
      <c r="S2496" s="15"/>
      <c r="T2496" s="15"/>
      <c r="U2496" s="15"/>
    </row>
    <row r="2497" spans="1:21" ht="13.2">
      <c r="A2497" s="24"/>
      <c r="B2497" s="22"/>
      <c r="C2497" s="22"/>
      <c r="D2497" s="23"/>
      <c r="E2497" s="15"/>
      <c r="F2497" s="15"/>
      <c r="G2497" s="15"/>
      <c r="H2497" s="15"/>
      <c r="I2497" s="15"/>
      <c r="J2497" s="15"/>
      <c r="K2497" s="15"/>
      <c r="L2497" s="15"/>
      <c r="M2497" s="15"/>
      <c r="N2497" s="15"/>
      <c r="O2497" s="15"/>
      <c r="P2497" s="15"/>
      <c r="Q2497" s="12"/>
      <c r="R2497" s="19"/>
      <c r="S2497" s="15"/>
      <c r="T2497" s="15"/>
      <c r="U2497" s="15"/>
    </row>
    <row r="2498" spans="1:21" ht="13.2">
      <c r="A2498" s="24"/>
      <c r="B2498" s="22"/>
      <c r="C2498" s="22"/>
      <c r="D2498" s="23"/>
      <c r="E2498" s="15"/>
      <c r="F2498" s="15"/>
      <c r="G2498" s="15"/>
      <c r="H2498" s="15"/>
      <c r="I2498" s="15"/>
      <c r="J2498" s="15"/>
      <c r="K2498" s="15"/>
      <c r="L2498" s="15"/>
      <c r="M2498" s="15"/>
      <c r="N2498" s="15"/>
      <c r="O2498" s="15"/>
      <c r="P2498" s="15"/>
      <c r="Q2498" s="12"/>
      <c r="R2498" s="19"/>
      <c r="S2498" s="15"/>
      <c r="T2498" s="15"/>
      <c r="U2498" s="15"/>
    </row>
    <row r="2499" spans="1:21" ht="13.2">
      <c r="A2499" s="24"/>
      <c r="B2499" s="22"/>
      <c r="C2499" s="22"/>
      <c r="D2499" s="23"/>
      <c r="E2499" s="15"/>
      <c r="F2499" s="15"/>
      <c r="G2499" s="15"/>
      <c r="H2499" s="15"/>
      <c r="I2499" s="15"/>
      <c r="J2499" s="15"/>
      <c r="K2499" s="15"/>
      <c r="L2499" s="15"/>
      <c r="M2499" s="15"/>
      <c r="N2499" s="15"/>
      <c r="O2499" s="15"/>
      <c r="P2499" s="15"/>
      <c r="Q2499" s="12"/>
      <c r="R2499" s="19"/>
      <c r="S2499" s="15"/>
      <c r="T2499" s="15"/>
      <c r="U2499" s="15"/>
    </row>
    <row r="2500" spans="1:21" ht="13.2">
      <c r="A2500" s="24"/>
      <c r="B2500" s="22"/>
      <c r="C2500" s="22"/>
      <c r="D2500" s="23"/>
      <c r="E2500" s="15"/>
      <c r="F2500" s="15"/>
      <c r="G2500" s="15"/>
      <c r="H2500" s="15"/>
      <c r="I2500" s="15"/>
      <c r="J2500" s="15"/>
      <c r="K2500" s="15"/>
      <c r="L2500" s="15"/>
      <c r="M2500" s="15"/>
      <c r="N2500" s="15"/>
      <c r="O2500" s="15"/>
      <c r="P2500" s="15"/>
      <c r="Q2500" s="12"/>
      <c r="R2500" s="19"/>
      <c r="S2500" s="15"/>
      <c r="T2500" s="15"/>
      <c r="U2500" s="15"/>
    </row>
    <row r="2501" spans="1:21" ht="13.2">
      <c r="A2501" s="24"/>
      <c r="B2501" s="22"/>
      <c r="C2501" s="22"/>
      <c r="D2501" s="23"/>
      <c r="E2501" s="15"/>
      <c r="F2501" s="15"/>
      <c r="G2501" s="15"/>
      <c r="H2501" s="15"/>
      <c r="I2501" s="15"/>
      <c r="J2501" s="15"/>
      <c r="K2501" s="15"/>
      <c r="L2501" s="15"/>
      <c r="M2501" s="15"/>
      <c r="N2501" s="15"/>
      <c r="O2501" s="15"/>
      <c r="P2501" s="15"/>
      <c r="Q2501" s="12"/>
      <c r="R2501" s="19"/>
      <c r="S2501" s="15"/>
      <c r="T2501" s="15"/>
      <c r="U2501" s="15"/>
    </row>
  </sheetData>
  <mergeCells count="2">
    <mergeCell ref="A1:K1"/>
    <mergeCell ref="L1:U1"/>
  </mergeCells>
  <hyperlinks>
    <hyperlink ref="F3" r:id="rId1" xr:uid="{00000000-0004-0000-0200-000000000000}"/>
    <hyperlink ref="G3" r:id="rId2" xr:uid="{00000000-0004-0000-0200-000001000000}"/>
    <hyperlink ref="S3" r:id="rId3" xr:uid="{00000000-0004-0000-0200-000002000000}"/>
    <hyperlink ref="F4" r:id="rId4" xr:uid="{00000000-0004-0000-0200-000003000000}"/>
    <hyperlink ref="F7" r:id="rId5" xr:uid="{00000000-0004-0000-0200-000004000000}"/>
    <hyperlink ref="G7" r:id="rId6" xr:uid="{00000000-0004-0000-0200-000005000000}"/>
    <hyperlink ref="S7" r:id="rId7" xr:uid="{00000000-0004-0000-0200-000006000000}"/>
    <hyperlink ref="G8" r:id="rId8" xr:uid="{00000000-0004-0000-0200-000007000000}"/>
    <hyperlink ref="S11" r:id="rId9" xr:uid="{00000000-0004-0000-0200-000008000000}"/>
    <hyperlink ref="F12" r:id="rId10" xr:uid="{00000000-0004-0000-0200-000009000000}"/>
    <hyperlink ref="S12" r:id="rId11" xr:uid="{00000000-0004-0000-0200-00000A000000}"/>
    <hyperlink ref="F13" r:id="rId12" xr:uid="{00000000-0004-0000-0200-00000B000000}"/>
    <hyperlink ref="G13" r:id="rId13" xr:uid="{00000000-0004-0000-0200-00000C000000}"/>
    <hyperlink ref="S13" r:id="rId14" xr:uid="{00000000-0004-0000-0200-00000D000000}"/>
    <hyperlink ref="S14" r:id="rId15" xr:uid="{00000000-0004-0000-0200-00000E000000}"/>
    <hyperlink ref="G15" r:id="rId16" xr:uid="{00000000-0004-0000-0200-00000F000000}"/>
    <hyperlink ref="F17" r:id="rId17" xr:uid="{00000000-0004-0000-0200-000010000000}"/>
    <hyperlink ref="S17" r:id="rId18" xr:uid="{00000000-0004-0000-0200-000011000000}"/>
    <hyperlink ref="G18" r:id="rId19" xr:uid="{00000000-0004-0000-0200-000012000000}"/>
    <hyperlink ref="G20" r:id="rId20" xr:uid="{00000000-0004-0000-0200-000013000000}"/>
    <hyperlink ref="F21" r:id="rId21" xr:uid="{00000000-0004-0000-0200-000014000000}"/>
    <hyperlink ref="S21" r:id="rId22" xr:uid="{00000000-0004-0000-0200-000015000000}"/>
    <hyperlink ref="G22" r:id="rId23" xr:uid="{00000000-0004-0000-0200-000016000000}"/>
    <hyperlink ref="G23" r:id="rId24" xr:uid="{00000000-0004-0000-0200-000017000000}"/>
    <hyperlink ref="G24" r:id="rId25" xr:uid="{00000000-0004-0000-0200-000018000000}"/>
    <hyperlink ref="G25" r:id="rId26" xr:uid="{00000000-0004-0000-0200-000019000000}"/>
    <hyperlink ref="S26" r:id="rId27" xr:uid="{00000000-0004-0000-0200-00001A000000}"/>
    <hyperlink ref="F27" r:id="rId28" xr:uid="{00000000-0004-0000-0200-00001B000000}"/>
    <hyperlink ref="G27" r:id="rId29" xr:uid="{00000000-0004-0000-0200-00001C000000}"/>
    <hyperlink ref="F28" r:id="rId30" xr:uid="{00000000-0004-0000-0200-00001D000000}"/>
    <hyperlink ref="G28" r:id="rId31" xr:uid="{00000000-0004-0000-0200-00001E000000}"/>
    <hyperlink ref="S29" r:id="rId32" xr:uid="{00000000-0004-0000-0200-00001F000000}"/>
    <hyperlink ref="G32" r:id="rId33" xr:uid="{00000000-0004-0000-0200-000020000000}"/>
    <hyperlink ref="F33" r:id="rId34" xr:uid="{00000000-0004-0000-0200-000021000000}"/>
    <hyperlink ref="S33" r:id="rId35" xr:uid="{00000000-0004-0000-0200-000022000000}"/>
    <hyperlink ref="S34" r:id="rId36" xr:uid="{00000000-0004-0000-0200-000023000000}"/>
    <hyperlink ref="F36" r:id="rId37" xr:uid="{00000000-0004-0000-0200-000024000000}"/>
    <hyperlink ref="G36" r:id="rId38" xr:uid="{00000000-0004-0000-0200-000025000000}"/>
    <hyperlink ref="F37" r:id="rId39" xr:uid="{00000000-0004-0000-0200-000026000000}"/>
    <hyperlink ref="G40" r:id="rId40" xr:uid="{00000000-0004-0000-0200-000027000000}"/>
    <hyperlink ref="S40" r:id="rId41" xr:uid="{00000000-0004-0000-0200-000028000000}"/>
    <hyperlink ref="G44" r:id="rId42" xr:uid="{00000000-0004-0000-0200-000029000000}"/>
    <hyperlink ref="F45" r:id="rId43" xr:uid="{00000000-0004-0000-0200-00002A000000}"/>
    <hyperlink ref="G46" r:id="rId44" xr:uid="{00000000-0004-0000-0200-00002B000000}"/>
    <hyperlink ref="S46" r:id="rId45" xr:uid="{00000000-0004-0000-0200-00002C000000}"/>
    <hyperlink ref="G47" r:id="rId46" xr:uid="{00000000-0004-0000-0200-00002D000000}"/>
    <hyperlink ref="S47" r:id="rId47" xr:uid="{00000000-0004-0000-0200-00002E000000}"/>
    <hyperlink ref="G48" r:id="rId48" xr:uid="{00000000-0004-0000-0200-00002F000000}"/>
    <hyperlink ref="S48" r:id="rId49" xr:uid="{00000000-0004-0000-0200-000030000000}"/>
    <hyperlink ref="F49" r:id="rId50" xr:uid="{00000000-0004-0000-0200-000031000000}"/>
    <hyperlink ref="G49" r:id="rId51" xr:uid="{00000000-0004-0000-0200-000032000000}"/>
    <hyperlink ref="G50" r:id="rId52" xr:uid="{00000000-0004-0000-0200-000033000000}"/>
    <hyperlink ref="S50" r:id="rId53" xr:uid="{00000000-0004-0000-0200-000034000000}"/>
    <hyperlink ref="G51" r:id="rId54" xr:uid="{00000000-0004-0000-0200-000035000000}"/>
    <hyperlink ref="S51" r:id="rId55" xr:uid="{00000000-0004-0000-0200-000036000000}"/>
    <hyperlink ref="G53" r:id="rId56" xr:uid="{00000000-0004-0000-0200-000037000000}"/>
    <hyperlink ref="S53" r:id="rId57" xr:uid="{00000000-0004-0000-0200-000038000000}"/>
    <hyperlink ref="G54" r:id="rId58" xr:uid="{00000000-0004-0000-0200-000039000000}"/>
    <hyperlink ref="S56" r:id="rId59" xr:uid="{00000000-0004-0000-0200-00003A000000}"/>
    <hyperlink ref="G57" r:id="rId60" xr:uid="{00000000-0004-0000-0200-00003B000000}"/>
    <hyperlink ref="S57" r:id="rId61" xr:uid="{00000000-0004-0000-0200-00003C000000}"/>
    <hyperlink ref="F58" r:id="rId62" xr:uid="{00000000-0004-0000-0200-00003D000000}"/>
    <hyperlink ref="G58" r:id="rId63" xr:uid="{00000000-0004-0000-0200-00003E000000}"/>
    <hyperlink ref="S58" r:id="rId64" xr:uid="{00000000-0004-0000-0200-00003F000000}"/>
    <hyperlink ref="F59" r:id="rId65" xr:uid="{00000000-0004-0000-0200-000040000000}"/>
    <hyperlink ref="G60" r:id="rId66" xr:uid="{00000000-0004-0000-0200-000041000000}"/>
    <hyperlink ref="S60" r:id="rId67" xr:uid="{00000000-0004-0000-0200-000042000000}"/>
    <hyperlink ref="G62" r:id="rId68" xr:uid="{00000000-0004-0000-0200-000043000000}"/>
    <hyperlink ref="G63" r:id="rId69" xr:uid="{00000000-0004-0000-0200-000044000000}"/>
    <hyperlink ref="S63" r:id="rId70" xr:uid="{00000000-0004-0000-0200-000045000000}"/>
    <hyperlink ref="S64" r:id="rId71" xr:uid="{00000000-0004-0000-0200-000046000000}"/>
    <hyperlink ref="F65" r:id="rId72" xr:uid="{00000000-0004-0000-0200-000047000000}"/>
    <hyperlink ref="G65" r:id="rId73" xr:uid="{00000000-0004-0000-0200-000048000000}"/>
    <hyperlink ref="G67" r:id="rId74" xr:uid="{00000000-0004-0000-0200-000049000000}"/>
    <hyperlink ref="S67" r:id="rId75" xr:uid="{00000000-0004-0000-0200-00004A000000}"/>
    <hyperlink ref="G69" r:id="rId76" xr:uid="{00000000-0004-0000-0200-00004B000000}"/>
    <hyperlink ref="G70" r:id="rId77" xr:uid="{00000000-0004-0000-0200-00004C000000}"/>
    <hyperlink ref="S70" r:id="rId78" xr:uid="{00000000-0004-0000-0200-00004D000000}"/>
    <hyperlink ref="F72" r:id="rId79" xr:uid="{00000000-0004-0000-0200-00004E000000}"/>
    <hyperlink ref="G73" r:id="rId80" xr:uid="{00000000-0004-0000-0200-00004F000000}"/>
    <hyperlink ref="G74" r:id="rId81" xr:uid="{00000000-0004-0000-0200-000050000000}"/>
    <hyperlink ref="F75" r:id="rId82" xr:uid="{00000000-0004-0000-0200-000051000000}"/>
    <hyperlink ref="G75" r:id="rId83" xr:uid="{00000000-0004-0000-0200-000052000000}"/>
    <hyperlink ref="F76" r:id="rId84" xr:uid="{00000000-0004-0000-0200-000053000000}"/>
    <hyperlink ref="S76" r:id="rId85" xr:uid="{00000000-0004-0000-0200-000054000000}"/>
    <hyperlink ref="F77" r:id="rId86" xr:uid="{00000000-0004-0000-0200-000055000000}"/>
    <hyperlink ref="S77" r:id="rId87" xr:uid="{00000000-0004-0000-0200-000056000000}"/>
    <hyperlink ref="F78" r:id="rId88" xr:uid="{00000000-0004-0000-0200-000057000000}"/>
    <hyperlink ref="S78" r:id="rId89" xr:uid="{00000000-0004-0000-0200-000058000000}"/>
    <hyperlink ref="G79" r:id="rId90" xr:uid="{00000000-0004-0000-0200-000059000000}"/>
    <hyperlink ref="S79" r:id="rId91" xr:uid="{00000000-0004-0000-0200-00005A000000}"/>
    <hyperlink ref="F81" r:id="rId92" xr:uid="{00000000-0004-0000-0200-00005B000000}"/>
    <hyperlink ref="G82" r:id="rId93" xr:uid="{00000000-0004-0000-0200-00005C000000}"/>
    <hyperlink ref="S82" r:id="rId94" xr:uid="{00000000-0004-0000-0200-00005D000000}"/>
    <hyperlink ref="F83" r:id="rId95" xr:uid="{00000000-0004-0000-0200-00005E000000}"/>
    <hyperlink ref="F86" r:id="rId96" xr:uid="{00000000-0004-0000-0200-00005F000000}"/>
    <hyperlink ref="S87" r:id="rId97" xr:uid="{00000000-0004-0000-0200-000060000000}"/>
    <hyperlink ref="F88" r:id="rId98" xr:uid="{00000000-0004-0000-0200-000061000000}"/>
    <hyperlink ref="F91" r:id="rId99" xr:uid="{00000000-0004-0000-0200-000062000000}"/>
    <hyperlink ref="S91" r:id="rId100" xr:uid="{00000000-0004-0000-0200-000063000000}"/>
    <hyperlink ref="F92" r:id="rId101" xr:uid="{00000000-0004-0000-0200-000064000000}"/>
    <hyperlink ref="G93" r:id="rId102" xr:uid="{00000000-0004-0000-0200-000065000000}"/>
    <hyperlink ref="G94" r:id="rId103" xr:uid="{00000000-0004-0000-0200-000066000000}"/>
    <hyperlink ref="S94" r:id="rId104" xr:uid="{00000000-0004-0000-0200-000067000000}"/>
    <hyperlink ref="F96" r:id="rId105" xr:uid="{00000000-0004-0000-0200-000068000000}"/>
    <hyperlink ref="G98" r:id="rId106" xr:uid="{00000000-0004-0000-0200-000069000000}"/>
    <hyperlink ref="F100" r:id="rId107" xr:uid="{00000000-0004-0000-0200-00006A000000}"/>
    <hyperlink ref="G100" r:id="rId108" xr:uid="{00000000-0004-0000-0200-00006B000000}"/>
    <hyperlink ref="F101" r:id="rId109" xr:uid="{00000000-0004-0000-0200-00006C000000}"/>
    <hyperlink ref="G101" r:id="rId110" xr:uid="{00000000-0004-0000-0200-00006D000000}"/>
    <hyperlink ref="F102" r:id="rId111" xr:uid="{00000000-0004-0000-0200-00006E000000}"/>
    <hyperlink ref="S102" r:id="rId112" xr:uid="{00000000-0004-0000-0200-00006F000000}"/>
    <hyperlink ref="F103" r:id="rId113" xr:uid="{00000000-0004-0000-0200-000070000000}"/>
    <hyperlink ref="S103" r:id="rId114" xr:uid="{00000000-0004-0000-0200-000071000000}"/>
    <hyperlink ref="F104" r:id="rId115" xr:uid="{00000000-0004-0000-0200-000072000000}"/>
    <hyperlink ref="F106" r:id="rId116" xr:uid="{00000000-0004-0000-0200-000073000000}"/>
    <hyperlink ref="G107" r:id="rId117" xr:uid="{00000000-0004-0000-0200-000074000000}"/>
    <hyperlink ref="F108" r:id="rId118" xr:uid="{00000000-0004-0000-0200-000075000000}"/>
    <hyperlink ref="G108" r:id="rId119" xr:uid="{00000000-0004-0000-0200-000076000000}"/>
    <hyperlink ref="F109" r:id="rId120" xr:uid="{00000000-0004-0000-0200-000077000000}"/>
    <hyperlink ref="G109" r:id="rId121" xr:uid="{00000000-0004-0000-0200-000078000000}"/>
    <hyperlink ref="F110" r:id="rId122" xr:uid="{00000000-0004-0000-0200-000079000000}"/>
    <hyperlink ref="S110" r:id="rId123" xr:uid="{00000000-0004-0000-0200-00007A000000}"/>
    <hyperlink ref="G111" r:id="rId124" xr:uid="{00000000-0004-0000-0200-00007B000000}"/>
    <hyperlink ref="S111" r:id="rId125" xr:uid="{00000000-0004-0000-0200-00007C000000}"/>
    <hyperlink ref="F112" r:id="rId126" xr:uid="{00000000-0004-0000-0200-00007D000000}"/>
    <hyperlink ref="G112" r:id="rId127" xr:uid="{00000000-0004-0000-0200-00007E000000}"/>
    <hyperlink ref="S112" r:id="rId128" xr:uid="{00000000-0004-0000-0200-00007F000000}"/>
    <hyperlink ref="S113" r:id="rId129" xr:uid="{00000000-0004-0000-0200-000080000000}"/>
    <hyperlink ref="F114" r:id="rId130" xr:uid="{00000000-0004-0000-0200-000081000000}"/>
    <hyperlink ref="F115" r:id="rId131" xr:uid="{00000000-0004-0000-0200-000082000000}"/>
    <hyperlink ref="S115" r:id="rId132" xr:uid="{00000000-0004-0000-0200-000083000000}"/>
    <hyperlink ref="F117" r:id="rId133" xr:uid="{00000000-0004-0000-0200-000084000000}"/>
    <hyperlink ref="R117" r:id="rId134" xr:uid="{00000000-0004-0000-0200-000085000000}"/>
    <hyperlink ref="S117" r:id="rId135" xr:uid="{00000000-0004-0000-0200-000086000000}"/>
    <hyperlink ref="G118" r:id="rId136" xr:uid="{00000000-0004-0000-0200-000087000000}"/>
    <hyperlink ref="F119" r:id="rId137" xr:uid="{00000000-0004-0000-0200-000088000000}"/>
    <hyperlink ref="G120" r:id="rId138" xr:uid="{00000000-0004-0000-0200-000089000000}"/>
    <hyperlink ref="S121" r:id="rId139" xr:uid="{00000000-0004-0000-0200-00008A000000}"/>
    <hyperlink ref="F122" r:id="rId140" xr:uid="{00000000-0004-0000-0200-00008B000000}"/>
    <hyperlink ref="S122" r:id="rId141" xr:uid="{00000000-0004-0000-0200-00008C000000}"/>
    <hyperlink ref="S124" r:id="rId142" xr:uid="{00000000-0004-0000-0200-00008D000000}"/>
    <hyperlink ref="F126" r:id="rId143" xr:uid="{00000000-0004-0000-0200-00008E000000}"/>
    <hyperlink ref="G126" r:id="rId144" xr:uid="{00000000-0004-0000-0200-00008F000000}"/>
    <hyperlink ref="S126" r:id="rId145" xr:uid="{00000000-0004-0000-0200-000090000000}"/>
    <hyperlink ref="S127" r:id="rId146" xr:uid="{00000000-0004-0000-0200-000091000000}"/>
    <hyperlink ref="F129" r:id="rId147" xr:uid="{00000000-0004-0000-0200-000092000000}"/>
    <hyperlink ref="G129" r:id="rId148" xr:uid="{00000000-0004-0000-0200-000093000000}"/>
    <hyperlink ref="S129" r:id="rId149" xr:uid="{00000000-0004-0000-0200-000094000000}"/>
    <hyperlink ref="S131" r:id="rId150" xr:uid="{00000000-0004-0000-0200-000095000000}"/>
    <hyperlink ref="F132" r:id="rId151" xr:uid="{00000000-0004-0000-0200-000096000000}"/>
    <hyperlink ref="G132" r:id="rId152" xr:uid="{00000000-0004-0000-0200-000097000000}"/>
    <hyperlink ref="S132" r:id="rId153" xr:uid="{00000000-0004-0000-0200-000098000000}"/>
    <hyperlink ref="S133" r:id="rId154" xr:uid="{00000000-0004-0000-0200-000099000000}"/>
    <hyperlink ref="F134" r:id="rId155" xr:uid="{00000000-0004-0000-0200-00009A000000}"/>
    <hyperlink ref="G134" r:id="rId156" xr:uid="{00000000-0004-0000-0200-00009B000000}"/>
    <hyperlink ref="S134" r:id="rId157" xr:uid="{00000000-0004-0000-0200-00009C000000}"/>
    <hyperlink ref="S135" r:id="rId158" xr:uid="{00000000-0004-0000-0200-00009D000000}"/>
    <hyperlink ref="F136" r:id="rId159" xr:uid="{00000000-0004-0000-0200-00009E000000}"/>
    <hyperlink ref="G136" r:id="rId160" xr:uid="{00000000-0004-0000-0200-00009F000000}"/>
    <hyperlink ref="F137" r:id="rId161" xr:uid="{00000000-0004-0000-0200-0000A0000000}"/>
    <hyperlink ref="G137" r:id="rId162" xr:uid="{00000000-0004-0000-0200-0000A1000000}"/>
    <hyperlink ref="S137" r:id="rId163" xr:uid="{00000000-0004-0000-0200-0000A2000000}"/>
    <hyperlink ref="S138" r:id="rId164" xr:uid="{00000000-0004-0000-0200-0000A3000000}"/>
    <hyperlink ref="F139" r:id="rId165" xr:uid="{00000000-0004-0000-0200-0000A4000000}"/>
    <hyperlink ref="F140" r:id="rId166" xr:uid="{00000000-0004-0000-0200-0000A5000000}"/>
    <hyperlink ref="G141" r:id="rId167" xr:uid="{00000000-0004-0000-0200-0000A6000000}"/>
    <hyperlink ref="S142" r:id="rId168" xr:uid="{00000000-0004-0000-0200-0000A7000000}"/>
    <hyperlink ref="S144" r:id="rId169" xr:uid="{00000000-0004-0000-0200-0000A8000000}"/>
    <hyperlink ref="F146" r:id="rId170" xr:uid="{00000000-0004-0000-0200-0000A9000000}"/>
    <hyperlink ref="G146" r:id="rId171" xr:uid="{00000000-0004-0000-0200-0000AA000000}"/>
    <hyperlink ref="Q147" r:id="rId172" xr:uid="{00000000-0004-0000-0200-0000AB000000}"/>
    <hyperlink ref="F149" r:id="rId173" xr:uid="{00000000-0004-0000-0200-0000AC000000}"/>
    <hyperlink ref="G150" r:id="rId174" xr:uid="{00000000-0004-0000-0200-0000AD000000}"/>
    <hyperlink ref="F151" r:id="rId175" xr:uid="{00000000-0004-0000-0200-0000AE000000}"/>
    <hyperlink ref="S151" r:id="rId176" xr:uid="{00000000-0004-0000-0200-0000AF000000}"/>
    <hyperlink ref="G152" r:id="rId177" xr:uid="{00000000-0004-0000-0200-0000B0000000}"/>
    <hyperlink ref="G153" r:id="rId178" xr:uid="{00000000-0004-0000-0200-0000B1000000}"/>
    <hyperlink ref="F154" r:id="rId179" xr:uid="{00000000-0004-0000-0200-0000B2000000}"/>
    <hyperlink ref="S154" r:id="rId180" xr:uid="{00000000-0004-0000-0200-0000B3000000}"/>
    <hyperlink ref="G155" r:id="rId181" xr:uid="{00000000-0004-0000-0200-0000B4000000}"/>
    <hyperlink ref="F156" r:id="rId182" xr:uid="{00000000-0004-0000-0200-0000B5000000}"/>
    <hyperlink ref="S156" r:id="rId183" xr:uid="{00000000-0004-0000-0200-0000B6000000}"/>
    <hyperlink ref="F158" r:id="rId184" xr:uid="{00000000-0004-0000-0200-0000B7000000}"/>
    <hyperlink ref="G158" r:id="rId185" xr:uid="{00000000-0004-0000-0200-0000B8000000}"/>
    <hyperlink ref="S158" r:id="rId186" xr:uid="{00000000-0004-0000-0200-0000B9000000}"/>
    <hyperlink ref="F161" r:id="rId187" xr:uid="{00000000-0004-0000-0200-0000BA000000}"/>
    <hyperlink ref="F162" r:id="rId188" xr:uid="{00000000-0004-0000-0200-0000BB000000}"/>
    <hyperlink ref="G163" r:id="rId189" xr:uid="{00000000-0004-0000-0200-0000BC000000}"/>
    <hyperlink ref="G164" r:id="rId190" xr:uid="{00000000-0004-0000-0200-0000BD000000}"/>
    <hyperlink ref="F165" r:id="rId191" xr:uid="{00000000-0004-0000-0200-0000BE000000}"/>
    <hyperlink ref="S165" r:id="rId192" xr:uid="{00000000-0004-0000-0200-0000BF000000}"/>
    <hyperlink ref="F166" r:id="rId193" xr:uid="{00000000-0004-0000-0200-0000C0000000}"/>
    <hyperlink ref="S166" r:id="rId194" xr:uid="{00000000-0004-0000-0200-0000C1000000}"/>
    <hyperlink ref="F167" r:id="rId195" xr:uid="{00000000-0004-0000-0200-0000C2000000}"/>
    <hyperlink ref="F168" r:id="rId196" xr:uid="{00000000-0004-0000-0200-0000C3000000}"/>
    <hyperlink ref="S169" r:id="rId197" xr:uid="{00000000-0004-0000-0200-0000C4000000}"/>
    <hyperlink ref="F170" r:id="rId198" xr:uid="{00000000-0004-0000-0200-0000C5000000}"/>
    <hyperlink ref="S170" r:id="rId199" xr:uid="{00000000-0004-0000-0200-0000C6000000}"/>
    <hyperlink ref="G171" r:id="rId200" xr:uid="{00000000-0004-0000-0200-0000C7000000}"/>
    <hyperlink ref="F172" r:id="rId201" xr:uid="{00000000-0004-0000-0200-0000C8000000}"/>
    <hyperlink ref="G172" r:id="rId202" xr:uid="{00000000-0004-0000-0200-0000C9000000}"/>
    <hyperlink ref="G173" r:id="rId203" xr:uid="{00000000-0004-0000-0200-0000CA000000}"/>
    <hyperlink ref="G175" r:id="rId204" xr:uid="{00000000-0004-0000-0200-0000CB000000}"/>
    <hyperlink ref="S175" r:id="rId205" xr:uid="{00000000-0004-0000-0200-0000CC000000}"/>
    <hyperlink ref="F176" r:id="rId206" xr:uid="{00000000-0004-0000-0200-0000CD000000}"/>
    <hyperlink ref="S176" r:id="rId207" xr:uid="{00000000-0004-0000-0200-0000CE000000}"/>
    <hyperlink ref="F178" r:id="rId208" xr:uid="{00000000-0004-0000-0200-0000CF000000}"/>
    <hyperlink ref="F181" r:id="rId209" xr:uid="{00000000-0004-0000-0200-0000D0000000}"/>
    <hyperlink ref="S181" r:id="rId210" xr:uid="{00000000-0004-0000-0200-0000D1000000}"/>
    <hyperlink ref="G182" r:id="rId211" xr:uid="{00000000-0004-0000-0200-0000D2000000}"/>
    <hyperlink ref="F183" r:id="rId212" xr:uid="{00000000-0004-0000-0200-0000D3000000}"/>
    <hyperlink ref="S183" r:id="rId213" xr:uid="{00000000-0004-0000-0200-0000D4000000}"/>
    <hyperlink ref="F185" r:id="rId214" xr:uid="{00000000-0004-0000-0200-0000D5000000}"/>
    <hyperlink ref="G186" r:id="rId215" xr:uid="{00000000-0004-0000-0200-0000D6000000}"/>
    <hyperlink ref="S186" r:id="rId216" xr:uid="{00000000-0004-0000-0200-0000D7000000}"/>
    <hyperlink ref="F187" r:id="rId217" xr:uid="{00000000-0004-0000-0200-0000D8000000}"/>
    <hyperlink ref="G187" r:id="rId218" xr:uid="{00000000-0004-0000-0200-0000D9000000}"/>
    <hyperlink ref="S187" r:id="rId219" xr:uid="{00000000-0004-0000-0200-0000DA000000}"/>
    <hyperlink ref="F188" r:id="rId220" xr:uid="{00000000-0004-0000-0200-0000DB000000}"/>
    <hyperlink ref="F189" r:id="rId221" xr:uid="{00000000-0004-0000-0200-0000DC000000}"/>
    <hyperlink ref="F190" r:id="rId222" xr:uid="{00000000-0004-0000-0200-0000DD000000}"/>
    <hyperlink ref="F191" r:id="rId223" xr:uid="{00000000-0004-0000-0200-0000DE000000}"/>
    <hyperlink ref="S191" r:id="rId224" xr:uid="{00000000-0004-0000-0200-0000DF000000}"/>
    <hyperlink ref="S192" r:id="rId225" xr:uid="{00000000-0004-0000-0200-0000E0000000}"/>
    <hyperlink ref="F193" r:id="rId226" xr:uid="{00000000-0004-0000-0200-0000E1000000}"/>
    <hyperlink ref="S193" r:id="rId227" xr:uid="{00000000-0004-0000-0200-0000E2000000}"/>
    <hyperlink ref="F194" r:id="rId228" xr:uid="{00000000-0004-0000-0200-0000E3000000}"/>
    <hyperlink ref="S195" r:id="rId229" xr:uid="{00000000-0004-0000-0200-0000E4000000}"/>
    <hyperlink ref="S196" r:id="rId230" xr:uid="{00000000-0004-0000-0200-0000E5000000}"/>
    <hyperlink ref="F197" r:id="rId231" xr:uid="{00000000-0004-0000-0200-0000E6000000}"/>
    <hyperlink ref="S198" r:id="rId232" xr:uid="{00000000-0004-0000-0200-0000E7000000}"/>
    <hyperlink ref="S199" r:id="rId233" xr:uid="{00000000-0004-0000-0200-0000E8000000}"/>
    <hyperlink ref="F200" r:id="rId234" xr:uid="{00000000-0004-0000-0200-0000E9000000}"/>
    <hyperlink ref="S200" r:id="rId235" xr:uid="{00000000-0004-0000-0200-0000EA000000}"/>
    <hyperlink ref="F201" r:id="rId236" xr:uid="{00000000-0004-0000-0200-0000EB000000}"/>
    <hyperlink ref="G201" r:id="rId237" xr:uid="{00000000-0004-0000-0200-0000EC000000}"/>
    <hyperlink ref="G203" r:id="rId238" xr:uid="{00000000-0004-0000-0200-0000ED000000}"/>
    <hyperlink ref="S204" r:id="rId239" xr:uid="{00000000-0004-0000-0200-0000EE000000}"/>
    <hyperlink ref="G206" r:id="rId240" xr:uid="{00000000-0004-0000-0200-0000EF000000}"/>
    <hyperlink ref="G207" r:id="rId241" xr:uid="{00000000-0004-0000-0200-0000F0000000}"/>
    <hyperlink ref="S207" r:id="rId242" xr:uid="{00000000-0004-0000-0200-0000F1000000}"/>
    <hyperlink ref="F208" r:id="rId243" xr:uid="{00000000-0004-0000-0200-0000F2000000}"/>
    <hyperlink ref="S208" r:id="rId244" xr:uid="{00000000-0004-0000-0200-0000F3000000}"/>
    <hyperlink ref="F209" r:id="rId245" xr:uid="{00000000-0004-0000-0200-0000F4000000}"/>
    <hyperlink ref="G209" r:id="rId246" xr:uid="{00000000-0004-0000-0200-0000F5000000}"/>
    <hyperlink ref="F211" r:id="rId247" xr:uid="{00000000-0004-0000-0200-0000F6000000}"/>
    <hyperlink ref="G212" r:id="rId248" xr:uid="{00000000-0004-0000-0200-0000F7000000}"/>
    <hyperlink ref="F213" r:id="rId249" location=".W_c8ciqdm4Z.twitter" xr:uid="{00000000-0004-0000-0200-0000F8000000}"/>
    <hyperlink ref="G214" r:id="rId250" xr:uid="{00000000-0004-0000-0200-0000F9000000}"/>
    <hyperlink ref="S214" r:id="rId251" xr:uid="{00000000-0004-0000-0200-0000FA000000}"/>
    <hyperlink ref="F215" r:id="rId252" xr:uid="{00000000-0004-0000-0200-0000FB000000}"/>
    <hyperlink ref="F216" r:id="rId253" xr:uid="{00000000-0004-0000-0200-0000FC000000}"/>
    <hyperlink ref="F221" r:id="rId254" xr:uid="{00000000-0004-0000-0200-0000FD000000}"/>
    <hyperlink ref="G221" r:id="rId255" xr:uid="{00000000-0004-0000-0200-0000FE000000}"/>
    <hyperlink ref="S221" r:id="rId256" xr:uid="{00000000-0004-0000-0200-0000FF000000}"/>
    <hyperlink ref="F224" r:id="rId257" xr:uid="{00000000-0004-0000-0200-000000010000}"/>
    <hyperlink ref="G224" r:id="rId258" xr:uid="{00000000-0004-0000-0200-000001010000}"/>
    <hyperlink ref="S224" r:id="rId259" xr:uid="{00000000-0004-0000-0200-000002010000}"/>
    <hyperlink ref="G225" r:id="rId260" xr:uid="{00000000-0004-0000-0200-000003010000}"/>
    <hyperlink ref="F226" r:id="rId261" xr:uid="{00000000-0004-0000-0200-000004010000}"/>
    <hyperlink ref="F227" r:id="rId262" xr:uid="{00000000-0004-0000-0200-000005010000}"/>
    <hyperlink ref="S227" r:id="rId263" xr:uid="{00000000-0004-0000-0200-000006010000}"/>
    <hyperlink ref="G229" r:id="rId264" xr:uid="{00000000-0004-0000-0200-000007010000}"/>
    <hyperlink ref="F231" r:id="rId265" xr:uid="{00000000-0004-0000-0200-000008010000}"/>
    <hyperlink ref="S231" r:id="rId266" xr:uid="{00000000-0004-0000-0200-000009010000}"/>
    <hyperlink ref="F232" r:id="rId267" xr:uid="{00000000-0004-0000-0200-00000A010000}"/>
    <hyperlink ref="F233" r:id="rId268" xr:uid="{00000000-0004-0000-0200-00000B010000}"/>
    <hyperlink ref="F234" r:id="rId269" xr:uid="{00000000-0004-0000-0200-00000C010000}"/>
    <hyperlink ref="G235" r:id="rId270" xr:uid="{00000000-0004-0000-0200-00000D010000}"/>
    <hyperlink ref="G236" r:id="rId271" xr:uid="{00000000-0004-0000-0200-00000E010000}"/>
    <hyperlink ref="G238" r:id="rId272" xr:uid="{00000000-0004-0000-0200-00000F010000}"/>
    <hyperlink ref="G239" r:id="rId273" xr:uid="{00000000-0004-0000-0200-000010010000}"/>
    <hyperlink ref="F240" r:id="rId274" xr:uid="{00000000-0004-0000-0200-000011010000}"/>
    <hyperlink ref="G240" r:id="rId275" xr:uid="{00000000-0004-0000-0200-000012010000}"/>
    <hyperlink ref="S241" r:id="rId276" xr:uid="{00000000-0004-0000-0200-000013010000}"/>
    <hyperlink ref="F242" r:id="rId277" xr:uid="{00000000-0004-0000-0200-000014010000}"/>
    <hyperlink ref="F243" r:id="rId278" xr:uid="{00000000-0004-0000-0200-000015010000}"/>
    <hyperlink ref="F244" r:id="rId279" xr:uid="{00000000-0004-0000-0200-000016010000}"/>
    <hyperlink ref="G244" r:id="rId280" xr:uid="{00000000-0004-0000-0200-000017010000}"/>
    <hyperlink ref="S244" r:id="rId281" xr:uid="{00000000-0004-0000-0200-000018010000}"/>
    <hyperlink ref="F245" r:id="rId282" xr:uid="{00000000-0004-0000-0200-000019010000}"/>
    <hyperlink ref="F246" r:id="rId283" xr:uid="{00000000-0004-0000-0200-00001A010000}"/>
    <hyperlink ref="S246" r:id="rId284" xr:uid="{00000000-0004-0000-0200-00001B010000}"/>
    <hyperlink ref="F247" r:id="rId285" xr:uid="{00000000-0004-0000-0200-00001C010000}"/>
    <hyperlink ref="S247" r:id="rId286" xr:uid="{00000000-0004-0000-0200-00001D010000}"/>
    <hyperlink ref="F248" r:id="rId287" xr:uid="{00000000-0004-0000-0200-00001E010000}"/>
    <hyperlink ref="S248" r:id="rId288" xr:uid="{00000000-0004-0000-0200-00001F010000}"/>
    <hyperlink ref="F249" r:id="rId289" xr:uid="{00000000-0004-0000-0200-000020010000}"/>
    <hyperlink ref="F250" r:id="rId290" xr:uid="{00000000-0004-0000-0200-000021010000}"/>
    <hyperlink ref="G250" r:id="rId291" xr:uid="{00000000-0004-0000-0200-000022010000}"/>
    <hyperlink ref="S250" r:id="rId292" xr:uid="{00000000-0004-0000-0200-000023010000}"/>
    <hyperlink ref="G251" r:id="rId293" xr:uid="{00000000-0004-0000-0200-000024010000}"/>
    <hyperlink ref="S251" r:id="rId294" xr:uid="{00000000-0004-0000-0200-000025010000}"/>
    <hyperlink ref="F252" r:id="rId295" xr:uid="{00000000-0004-0000-0200-000026010000}"/>
    <hyperlink ref="F253" r:id="rId296" xr:uid="{00000000-0004-0000-0200-000027010000}"/>
    <hyperlink ref="G254" r:id="rId297" xr:uid="{00000000-0004-0000-0200-000028010000}"/>
    <hyperlink ref="S254" r:id="rId298" xr:uid="{00000000-0004-0000-0200-000029010000}"/>
    <hyperlink ref="G255" r:id="rId299" xr:uid="{00000000-0004-0000-0200-00002A010000}"/>
    <hyperlink ref="S255" r:id="rId300" xr:uid="{00000000-0004-0000-0200-00002B010000}"/>
    <hyperlink ref="G257" r:id="rId301" xr:uid="{00000000-0004-0000-0200-00002C010000}"/>
    <hyperlink ref="F258" r:id="rId302" xr:uid="{00000000-0004-0000-0200-00002D010000}"/>
    <hyperlink ref="G258" r:id="rId303" xr:uid="{00000000-0004-0000-0200-00002E010000}"/>
    <hyperlink ref="S258" r:id="rId304" xr:uid="{00000000-0004-0000-0200-00002F010000}"/>
    <hyperlink ref="F259" r:id="rId305" xr:uid="{00000000-0004-0000-0200-000030010000}"/>
    <hyperlink ref="S259" r:id="rId306" xr:uid="{00000000-0004-0000-0200-000031010000}"/>
    <hyperlink ref="G260" r:id="rId307" xr:uid="{00000000-0004-0000-0200-000032010000}"/>
    <hyperlink ref="G261" r:id="rId308" xr:uid="{00000000-0004-0000-0200-000033010000}"/>
    <hyperlink ref="F262" r:id="rId309" xr:uid="{00000000-0004-0000-0200-000034010000}"/>
    <hyperlink ref="G262" r:id="rId310" xr:uid="{00000000-0004-0000-0200-000035010000}"/>
    <hyperlink ref="S262" r:id="rId311" xr:uid="{00000000-0004-0000-0200-000036010000}"/>
    <hyperlink ref="F264" r:id="rId312" xr:uid="{00000000-0004-0000-0200-000037010000}"/>
    <hyperlink ref="G265" r:id="rId313" xr:uid="{00000000-0004-0000-0200-000038010000}"/>
    <hyperlink ref="S265" r:id="rId314" xr:uid="{00000000-0004-0000-0200-000039010000}"/>
    <hyperlink ref="F266" r:id="rId315" xr:uid="{00000000-0004-0000-0200-00003A010000}"/>
    <hyperlink ref="G267" r:id="rId316" xr:uid="{00000000-0004-0000-0200-00003B010000}"/>
    <hyperlink ref="S267" r:id="rId317" xr:uid="{00000000-0004-0000-0200-00003C010000}"/>
    <hyperlink ref="G268" r:id="rId318" xr:uid="{00000000-0004-0000-0200-00003D010000}"/>
    <hyperlink ref="F269" r:id="rId319" xr:uid="{00000000-0004-0000-0200-00003E010000}"/>
    <hyperlink ref="G269" r:id="rId320" xr:uid="{00000000-0004-0000-0200-00003F010000}"/>
    <hyperlink ref="F270" r:id="rId321" xr:uid="{00000000-0004-0000-0200-000040010000}"/>
    <hyperlink ref="F271" r:id="rId322" xr:uid="{00000000-0004-0000-0200-000041010000}"/>
    <hyperlink ref="S273" r:id="rId323" xr:uid="{00000000-0004-0000-0200-000042010000}"/>
    <hyperlink ref="S274" r:id="rId324" xr:uid="{00000000-0004-0000-0200-000043010000}"/>
    <hyperlink ref="F276" r:id="rId325" xr:uid="{00000000-0004-0000-0200-000044010000}"/>
    <hyperlink ref="F278" r:id="rId326" xr:uid="{00000000-0004-0000-0200-000045010000}"/>
    <hyperlink ref="G280" r:id="rId327" xr:uid="{00000000-0004-0000-0200-000046010000}"/>
    <hyperlink ref="S282" r:id="rId328" xr:uid="{00000000-0004-0000-0200-000047010000}"/>
    <hyperlink ref="F283" r:id="rId329" xr:uid="{00000000-0004-0000-0200-000048010000}"/>
    <hyperlink ref="F284" r:id="rId330" xr:uid="{00000000-0004-0000-0200-000049010000}"/>
    <hyperlink ref="S284" r:id="rId331" xr:uid="{00000000-0004-0000-0200-00004A010000}"/>
    <hyperlink ref="F287" r:id="rId332" xr:uid="{00000000-0004-0000-0200-00004B010000}"/>
    <hyperlink ref="G288" r:id="rId333" xr:uid="{00000000-0004-0000-0200-00004C010000}"/>
    <hyperlink ref="G289" r:id="rId334" xr:uid="{00000000-0004-0000-0200-00004D010000}"/>
    <hyperlink ref="S289" r:id="rId335" xr:uid="{00000000-0004-0000-0200-00004E010000}"/>
    <hyperlink ref="F290" r:id="rId336" xr:uid="{00000000-0004-0000-0200-00004F010000}"/>
    <hyperlink ref="F291" r:id="rId337" xr:uid="{00000000-0004-0000-0200-000050010000}"/>
    <hyperlink ref="S293" r:id="rId338" xr:uid="{00000000-0004-0000-0200-000051010000}"/>
    <hyperlink ref="F296" r:id="rId339" xr:uid="{00000000-0004-0000-0200-000052010000}"/>
    <hyperlink ref="F297" r:id="rId340" xr:uid="{00000000-0004-0000-0200-000053010000}"/>
    <hyperlink ref="S298" r:id="rId341" xr:uid="{00000000-0004-0000-0200-000054010000}"/>
    <hyperlink ref="F299" r:id="rId342" xr:uid="{00000000-0004-0000-0200-000055010000}"/>
    <hyperlink ref="F300" r:id="rId343" xr:uid="{00000000-0004-0000-0200-000056010000}"/>
    <hyperlink ref="G300" r:id="rId344" xr:uid="{00000000-0004-0000-0200-000057010000}"/>
    <hyperlink ref="S300" r:id="rId345" xr:uid="{00000000-0004-0000-0200-000058010000}"/>
    <hyperlink ref="F302" r:id="rId346" xr:uid="{00000000-0004-0000-0200-000059010000}"/>
    <hyperlink ref="G302" r:id="rId347" xr:uid="{00000000-0004-0000-0200-00005A010000}"/>
    <hyperlink ref="S302" r:id="rId348" xr:uid="{00000000-0004-0000-0200-00005B010000}"/>
    <hyperlink ref="F304" r:id="rId349" xr:uid="{00000000-0004-0000-0200-00005C010000}"/>
    <hyperlink ref="S304" r:id="rId350" xr:uid="{00000000-0004-0000-0200-00005D010000}"/>
    <hyperlink ref="F305" r:id="rId351" xr:uid="{00000000-0004-0000-0200-00005E010000}"/>
    <hyperlink ref="G305" r:id="rId352" xr:uid="{00000000-0004-0000-0200-00005F010000}"/>
    <hyperlink ref="G306" r:id="rId353" xr:uid="{00000000-0004-0000-0200-000060010000}"/>
    <hyperlink ref="G307" r:id="rId354" xr:uid="{00000000-0004-0000-0200-000061010000}"/>
    <hyperlink ref="S307" r:id="rId355" xr:uid="{00000000-0004-0000-0200-000062010000}"/>
    <hyperlink ref="G308" r:id="rId356" xr:uid="{00000000-0004-0000-0200-000063010000}"/>
    <hyperlink ref="F309" r:id="rId357" xr:uid="{00000000-0004-0000-0200-000064010000}"/>
    <hyperlink ref="G310" r:id="rId358" xr:uid="{00000000-0004-0000-0200-000065010000}"/>
    <hyperlink ref="G311" r:id="rId359" xr:uid="{00000000-0004-0000-0200-000066010000}"/>
    <hyperlink ref="S311" r:id="rId360" xr:uid="{00000000-0004-0000-0200-000067010000}"/>
    <hyperlink ref="F313" r:id="rId361" xr:uid="{00000000-0004-0000-0200-000068010000}"/>
    <hyperlink ref="G314" r:id="rId362" xr:uid="{00000000-0004-0000-0200-000069010000}"/>
    <hyperlink ref="S314" r:id="rId363" xr:uid="{00000000-0004-0000-0200-00006A010000}"/>
    <hyperlink ref="F315" r:id="rId364" xr:uid="{00000000-0004-0000-0200-00006B010000}"/>
    <hyperlink ref="S315" r:id="rId365" xr:uid="{00000000-0004-0000-0200-00006C010000}"/>
    <hyperlink ref="G316" r:id="rId366" xr:uid="{00000000-0004-0000-0200-00006D010000}"/>
    <hyperlink ref="G317" r:id="rId367" xr:uid="{00000000-0004-0000-0200-00006E010000}"/>
    <hyperlink ref="F319" r:id="rId368" xr:uid="{00000000-0004-0000-0200-00006F010000}"/>
    <hyperlink ref="S319" r:id="rId369" xr:uid="{00000000-0004-0000-0200-000070010000}"/>
    <hyperlink ref="F320" r:id="rId370" xr:uid="{00000000-0004-0000-0200-000071010000}"/>
    <hyperlink ref="F321" r:id="rId371" xr:uid="{00000000-0004-0000-0200-000072010000}"/>
    <hyperlink ref="S321" r:id="rId372" xr:uid="{00000000-0004-0000-0200-000073010000}"/>
    <hyperlink ref="F323" r:id="rId373" xr:uid="{00000000-0004-0000-0200-000074010000}"/>
    <hyperlink ref="G323" r:id="rId374" xr:uid="{00000000-0004-0000-0200-000075010000}"/>
    <hyperlink ref="F325" r:id="rId375" xr:uid="{00000000-0004-0000-0200-000076010000}"/>
    <hyperlink ref="F326" r:id="rId376" xr:uid="{00000000-0004-0000-0200-000077010000}"/>
    <hyperlink ref="F327" r:id="rId377" xr:uid="{00000000-0004-0000-0200-000078010000}"/>
    <hyperlink ref="G327" r:id="rId378" xr:uid="{00000000-0004-0000-0200-000079010000}"/>
    <hyperlink ref="F328" r:id="rId379" xr:uid="{00000000-0004-0000-0200-00007A010000}"/>
    <hyperlink ref="S328" r:id="rId380" xr:uid="{00000000-0004-0000-0200-00007B010000}"/>
    <hyperlink ref="F329" r:id="rId381" xr:uid="{00000000-0004-0000-0200-00007C010000}"/>
    <hyperlink ref="F330" r:id="rId382" xr:uid="{00000000-0004-0000-0200-00007D010000}"/>
    <hyperlink ref="F331" r:id="rId383" xr:uid="{00000000-0004-0000-0200-00007E010000}"/>
    <hyperlink ref="S331" r:id="rId384" xr:uid="{00000000-0004-0000-0200-00007F010000}"/>
    <hyperlink ref="F333" r:id="rId385" xr:uid="{00000000-0004-0000-0200-000080010000}"/>
    <hyperlink ref="S333" r:id="rId386" xr:uid="{00000000-0004-0000-0200-000081010000}"/>
    <hyperlink ref="F334" r:id="rId387" xr:uid="{00000000-0004-0000-0200-000082010000}"/>
    <hyperlink ref="S334" r:id="rId388" xr:uid="{00000000-0004-0000-0200-000083010000}"/>
    <hyperlink ref="F335" r:id="rId389" xr:uid="{00000000-0004-0000-0200-000084010000}"/>
    <hyperlink ref="G335" r:id="rId390" xr:uid="{00000000-0004-0000-0200-000085010000}"/>
    <hyperlink ref="S335" r:id="rId391" xr:uid="{00000000-0004-0000-0200-000086010000}"/>
    <hyperlink ref="S336" r:id="rId392" xr:uid="{00000000-0004-0000-0200-000087010000}"/>
    <hyperlink ref="F337" r:id="rId393" xr:uid="{00000000-0004-0000-0200-000088010000}"/>
    <hyperlink ref="G337" r:id="rId394" xr:uid="{00000000-0004-0000-0200-000089010000}"/>
    <hyperlink ref="F339" r:id="rId395" xr:uid="{00000000-0004-0000-0200-00008A010000}"/>
    <hyperlink ref="S339" r:id="rId396" xr:uid="{00000000-0004-0000-0200-00008B010000}"/>
    <hyperlink ref="F340" r:id="rId397" xr:uid="{00000000-0004-0000-0200-00008C010000}"/>
    <hyperlink ref="F341" r:id="rId398" xr:uid="{00000000-0004-0000-0200-00008D010000}"/>
    <hyperlink ref="S341" r:id="rId399" xr:uid="{00000000-0004-0000-0200-00008E010000}"/>
    <hyperlink ref="F342" r:id="rId400" xr:uid="{00000000-0004-0000-0200-00008F010000}"/>
    <hyperlink ref="F344" r:id="rId401" xr:uid="{00000000-0004-0000-0200-000090010000}"/>
    <hyperlink ref="G344" r:id="rId402" xr:uid="{00000000-0004-0000-0200-000091010000}"/>
    <hyperlink ref="F345" r:id="rId403" xr:uid="{00000000-0004-0000-0200-000092010000}"/>
    <hyperlink ref="S345" r:id="rId404" xr:uid="{00000000-0004-0000-0200-000093010000}"/>
    <hyperlink ref="F347" r:id="rId405" xr:uid="{00000000-0004-0000-0200-000094010000}"/>
    <hyperlink ref="S347" r:id="rId406" xr:uid="{00000000-0004-0000-0200-000095010000}"/>
    <hyperlink ref="F349" r:id="rId407" xr:uid="{00000000-0004-0000-0200-000096010000}"/>
    <hyperlink ref="F350" r:id="rId408" xr:uid="{00000000-0004-0000-0200-000097010000}"/>
    <hyperlink ref="F351" r:id="rId409" xr:uid="{00000000-0004-0000-0200-000098010000}"/>
    <hyperlink ref="G351" r:id="rId410" xr:uid="{00000000-0004-0000-0200-000099010000}"/>
    <hyperlink ref="F352" r:id="rId411" xr:uid="{00000000-0004-0000-0200-00009A010000}"/>
    <hyperlink ref="G352" r:id="rId412" xr:uid="{00000000-0004-0000-0200-00009B010000}"/>
    <hyperlink ref="S352" r:id="rId413" xr:uid="{00000000-0004-0000-0200-00009C010000}"/>
    <hyperlink ref="F353" r:id="rId414" xr:uid="{00000000-0004-0000-0200-00009D010000}"/>
    <hyperlink ref="S353" r:id="rId415" xr:uid="{00000000-0004-0000-0200-00009E010000}"/>
    <hyperlink ref="F354" r:id="rId416" xr:uid="{00000000-0004-0000-0200-00009F010000}"/>
    <hyperlink ref="G354" r:id="rId417" xr:uid="{00000000-0004-0000-0200-0000A0010000}"/>
    <hyperlink ref="S354" r:id="rId418" xr:uid="{00000000-0004-0000-0200-0000A1010000}"/>
    <hyperlink ref="F355" r:id="rId419" xr:uid="{00000000-0004-0000-0200-0000A2010000}"/>
    <hyperlink ref="G355" r:id="rId420" xr:uid="{00000000-0004-0000-0200-0000A3010000}"/>
    <hyperlink ref="S355" r:id="rId421" xr:uid="{00000000-0004-0000-0200-0000A4010000}"/>
    <hyperlink ref="F356" r:id="rId422" xr:uid="{00000000-0004-0000-0200-0000A5010000}"/>
    <hyperlink ref="S356" r:id="rId423" xr:uid="{00000000-0004-0000-0200-0000A6010000}"/>
    <hyperlink ref="F358" r:id="rId424" xr:uid="{00000000-0004-0000-0200-0000A7010000}"/>
    <hyperlink ref="G359" r:id="rId425" xr:uid="{00000000-0004-0000-0200-0000A8010000}"/>
    <hyperlink ref="F360" r:id="rId426" xr:uid="{00000000-0004-0000-0200-0000A9010000}"/>
    <hyperlink ref="S360" r:id="rId427" xr:uid="{00000000-0004-0000-0200-0000AA010000}"/>
    <hyperlink ref="F361" r:id="rId428" xr:uid="{00000000-0004-0000-0200-0000AB010000}"/>
    <hyperlink ref="G362" r:id="rId429" xr:uid="{00000000-0004-0000-0200-0000AC010000}"/>
    <hyperlink ref="S362" r:id="rId430" xr:uid="{00000000-0004-0000-0200-0000AD010000}"/>
    <hyperlink ref="F363" r:id="rId431" xr:uid="{00000000-0004-0000-0200-0000AE010000}"/>
    <hyperlink ref="G363" r:id="rId432" xr:uid="{00000000-0004-0000-0200-0000AF010000}"/>
    <hyperlink ref="S364" r:id="rId433" xr:uid="{00000000-0004-0000-0200-0000B0010000}"/>
    <hyperlink ref="S365" r:id="rId434" xr:uid="{00000000-0004-0000-0200-0000B1010000}"/>
    <hyperlink ref="F366" r:id="rId435" xr:uid="{00000000-0004-0000-0200-0000B2010000}"/>
    <hyperlink ref="F367" r:id="rId436" xr:uid="{00000000-0004-0000-0200-0000B3010000}"/>
    <hyperlink ref="F368" r:id="rId437" xr:uid="{00000000-0004-0000-0200-0000B4010000}"/>
    <hyperlink ref="F369" r:id="rId438" xr:uid="{00000000-0004-0000-0200-0000B5010000}"/>
    <hyperlink ref="F370" r:id="rId439" xr:uid="{00000000-0004-0000-0200-0000B6010000}"/>
    <hyperlink ref="F371" r:id="rId440" xr:uid="{00000000-0004-0000-0200-0000B7010000}"/>
    <hyperlink ref="S372" r:id="rId441" xr:uid="{00000000-0004-0000-0200-0000B8010000}"/>
    <hyperlink ref="F373" r:id="rId442" xr:uid="{00000000-0004-0000-0200-0000B9010000}"/>
    <hyperlink ref="F374" r:id="rId443" xr:uid="{00000000-0004-0000-0200-0000BA010000}"/>
    <hyperlink ref="G376" r:id="rId444" xr:uid="{00000000-0004-0000-0200-0000BB010000}"/>
    <hyperlink ref="S376" r:id="rId445" xr:uid="{00000000-0004-0000-0200-0000BC010000}"/>
    <hyperlink ref="F377" r:id="rId446" xr:uid="{00000000-0004-0000-0200-0000BD010000}"/>
    <hyperlink ref="F378" r:id="rId447" xr:uid="{00000000-0004-0000-0200-0000BE010000}"/>
    <hyperlink ref="S378" r:id="rId448" xr:uid="{00000000-0004-0000-0200-0000BF010000}"/>
    <hyperlink ref="F379" r:id="rId449" xr:uid="{00000000-0004-0000-0200-0000C0010000}"/>
    <hyperlink ref="C380" r:id="rId450" xr:uid="{00000000-0004-0000-0200-0000C1010000}"/>
    <hyperlink ref="F380" r:id="rId451" xr:uid="{00000000-0004-0000-0200-0000C2010000}"/>
    <hyperlink ref="G380" r:id="rId452" xr:uid="{00000000-0004-0000-0200-0000C3010000}"/>
    <hyperlink ref="F381" r:id="rId453" xr:uid="{00000000-0004-0000-0200-0000C4010000}"/>
    <hyperlink ref="G381" r:id="rId454" xr:uid="{00000000-0004-0000-0200-0000C5010000}"/>
    <hyperlink ref="S381" r:id="rId455" xr:uid="{00000000-0004-0000-0200-0000C6010000}"/>
    <hyperlink ref="F382" r:id="rId456" xr:uid="{00000000-0004-0000-0200-0000C7010000}"/>
    <hyperlink ref="F383" r:id="rId457" xr:uid="{00000000-0004-0000-0200-0000C8010000}"/>
    <hyperlink ref="F384" r:id="rId458" xr:uid="{00000000-0004-0000-0200-0000C9010000}"/>
    <hyperlink ref="S384" r:id="rId459" xr:uid="{00000000-0004-0000-0200-0000CA010000}"/>
    <hyperlink ref="R385" r:id="rId460" xr:uid="{00000000-0004-0000-0200-0000CB010000}"/>
    <hyperlink ref="F386" r:id="rId461" xr:uid="{00000000-0004-0000-0200-0000CC010000}"/>
    <hyperlink ref="F387" r:id="rId462" xr:uid="{00000000-0004-0000-0200-0000CD010000}"/>
    <hyperlink ref="F388" r:id="rId463" xr:uid="{00000000-0004-0000-0200-0000CE010000}"/>
    <hyperlink ref="S388" r:id="rId464" xr:uid="{00000000-0004-0000-0200-0000CF010000}"/>
    <hyperlink ref="F389" r:id="rId465" xr:uid="{00000000-0004-0000-0200-0000D0010000}"/>
    <hyperlink ref="S389" r:id="rId466" xr:uid="{00000000-0004-0000-0200-0000D1010000}"/>
    <hyperlink ref="F390" r:id="rId467" xr:uid="{00000000-0004-0000-0200-0000D2010000}"/>
    <hyperlink ref="F391" r:id="rId468" xr:uid="{00000000-0004-0000-0200-0000D3010000}"/>
    <hyperlink ref="G392" r:id="rId469" xr:uid="{00000000-0004-0000-0200-0000D4010000}"/>
    <hyperlink ref="S392" r:id="rId470" xr:uid="{00000000-0004-0000-0200-0000D5010000}"/>
    <hyperlink ref="F393" r:id="rId471" xr:uid="{00000000-0004-0000-0200-0000D6010000}"/>
    <hyperlink ref="G393" r:id="rId472" xr:uid="{00000000-0004-0000-0200-0000D7010000}"/>
    <hyperlink ref="F394" r:id="rId473" xr:uid="{00000000-0004-0000-0200-0000D8010000}"/>
    <hyperlink ref="F397" r:id="rId474" xr:uid="{00000000-0004-0000-0200-0000D9010000}"/>
    <hyperlink ref="G397" r:id="rId475" xr:uid="{00000000-0004-0000-0200-0000DA010000}"/>
    <hyperlink ref="S397" r:id="rId476" xr:uid="{00000000-0004-0000-0200-0000DB010000}"/>
    <hyperlink ref="F398" r:id="rId477" xr:uid="{00000000-0004-0000-0200-0000DC010000}"/>
    <hyperlink ref="S398" r:id="rId478" xr:uid="{00000000-0004-0000-0200-0000DD010000}"/>
    <hyperlink ref="S399" r:id="rId479" xr:uid="{00000000-0004-0000-0200-0000DE010000}"/>
    <hyperlink ref="F400" r:id="rId480" xr:uid="{00000000-0004-0000-0200-0000DF010000}"/>
    <hyperlink ref="G400" r:id="rId481" xr:uid="{00000000-0004-0000-0200-0000E0010000}"/>
    <hyperlink ref="S400" r:id="rId482" xr:uid="{00000000-0004-0000-0200-0000E1010000}"/>
    <hyperlink ref="F401" r:id="rId483" xr:uid="{00000000-0004-0000-0200-0000E2010000}"/>
    <hyperlink ref="S401" r:id="rId484" xr:uid="{00000000-0004-0000-0200-0000E3010000}"/>
    <hyperlink ref="F403" r:id="rId485" xr:uid="{00000000-0004-0000-0200-0000E4010000}"/>
    <hyperlink ref="F404" r:id="rId486" xr:uid="{00000000-0004-0000-0200-0000E5010000}"/>
    <hyperlink ref="F405" r:id="rId487" xr:uid="{00000000-0004-0000-0200-0000E6010000}"/>
    <hyperlink ref="G408" r:id="rId488" xr:uid="{00000000-0004-0000-0200-0000E7010000}"/>
    <hyperlink ref="S408" r:id="rId489" xr:uid="{00000000-0004-0000-0200-0000E8010000}"/>
    <hyperlink ref="F409" r:id="rId490" xr:uid="{00000000-0004-0000-0200-0000E9010000}"/>
    <hyperlink ref="F411" r:id="rId491" xr:uid="{00000000-0004-0000-0200-0000EA010000}"/>
    <hyperlink ref="F412" r:id="rId492" xr:uid="{00000000-0004-0000-0200-0000EB010000}"/>
    <hyperlink ref="S412" r:id="rId493" xr:uid="{00000000-0004-0000-0200-0000EC010000}"/>
    <hyperlink ref="F413" r:id="rId494" xr:uid="{00000000-0004-0000-0200-0000ED010000}"/>
    <hyperlink ref="G415" r:id="rId495" xr:uid="{00000000-0004-0000-0200-0000EE010000}"/>
    <hyperlink ref="F416" r:id="rId496" xr:uid="{00000000-0004-0000-0200-0000EF010000}"/>
    <hyperlink ref="S416" r:id="rId497" xr:uid="{00000000-0004-0000-0200-0000F0010000}"/>
    <hyperlink ref="F417" r:id="rId498" xr:uid="{00000000-0004-0000-0200-0000F1010000}"/>
    <hyperlink ref="S417" r:id="rId499" xr:uid="{00000000-0004-0000-0200-0000F2010000}"/>
    <hyperlink ref="G418" r:id="rId500" xr:uid="{00000000-0004-0000-0200-0000F3010000}"/>
    <hyperlink ref="F420" r:id="rId501" xr:uid="{00000000-0004-0000-0200-0000F4010000}"/>
    <hyperlink ref="F421" r:id="rId502" xr:uid="{00000000-0004-0000-0200-0000F5010000}"/>
    <hyperlink ref="S421" r:id="rId503" xr:uid="{00000000-0004-0000-0200-0000F6010000}"/>
    <hyperlink ref="F422" r:id="rId504" xr:uid="{00000000-0004-0000-0200-0000F7010000}"/>
    <hyperlink ref="S422" r:id="rId505" xr:uid="{00000000-0004-0000-0200-0000F8010000}"/>
    <hyperlink ref="F423" r:id="rId506" xr:uid="{00000000-0004-0000-0200-0000F9010000}"/>
    <hyperlink ref="S425" r:id="rId507" xr:uid="{00000000-0004-0000-0200-0000FA010000}"/>
    <hyperlink ref="F426" r:id="rId508" xr:uid="{00000000-0004-0000-0200-0000FB010000}"/>
    <hyperlink ref="G426" r:id="rId509" xr:uid="{00000000-0004-0000-0200-0000FC010000}"/>
    <hyperlink ref="S426" r:id="rId510" xr:uid="{00000000-0004-0000-0200-0000FD010000}"/>
    <hyperlink ref="F427" r:id="rId511" xr:uid="{00000000-0004-0000-0200-0000FE010000}"/>
    <hyperlink ref="G427" r:id="rId512" xr:uid="{00000000-0004-0000-0200-0000FF010000}"/>
    <hyperlink ref="S427" r:id="rId513" xr:uid="{00000000-0004-0000-0200-000000020000}"/>
    <hyperlink ref="F428" r:id="rId514" xr:uid="{00000000-0004-0000-0200-000001020000}"/>
    <hyperlink ref="F429" r:id="rId515" xr:uid="{00000000-0004-0000-0200-000002020000}"/>
    <hyperlink ref="S429" r:id="rId516" xr:uid="{00000000-0004-0000-0200-000003020000}"/>
    <hyperlink ref="S432" r:id="rId517" xr:uid="{00000000-0004-0000-0200-000004020000}"/>
    <hyperlink ref="S433" r:id="rId518" xr:uid="{00000000-0004-0000-0200-000005020000}"/>
    <hyperlink ref="F437" r:id="rId519" xr:uid="{00000000-0004-0000-0200-000006020000}"/>
    <hyperlink ref="G439" r:id="rId520" xr:uid="{00000000-0004-0000-0200-000007020000}"/>
    <hyperlink ref="F441" r:id="rId521" xr:uid="{00000000-0004-0000-0200-000008020000}"/>
    <hyperlink ref="F442" r:id="rId522" xr:uid="{00000000-0004-0000-0200-000009020000}"/>
    <hyperlink ref="G443" r:id="rId523" xr:uid="{00000000-0004-0000-0200-00000A020000}"/>
    <hyperlink ref="S443" r:id="rId524" xr:uid="{00000000-0004-0000-0200-00000B020000}"/>
    <hyperlink ref="S445" r:id="rId525" xr:uid="{00000000-0004-0000-0200-00000C020000}"/>
    <hyperlink ref="F446" r:id="rId526" xr:uid="{00000000-0004-0000-0200-00000D020000}"/>
    <hyperlink ref="S446" r:id="rId527" xr:uid="{00000000-0004-0000-0200-00000E020000}"/>
    <hyperlink ref="F447" r:id="rId528" xr:uid="{00000000-0004-0000-0200-00000F020000}"/>
    <hyperlink ref="F448" r:id="rId529" xr:uid="{00000000-0004-0000-0200-000010020000}"/>
    <hyperlink ref="G448" r:id="rId530" xr:uid="{00000000-0004-0000-0200-000011020000}"/>
    <hyperlink ref="S448" r:id="rId531" xr:uid="{00000000-0004-0000-0200-000012020000}"/>
    <hyperlink ref="F449" r:id="rId532" xr:uid="{00000000-0004-0000-0200-000013020000}"/>
    <hyperlink ref="F450" r:id="rId533" xr:uid="{00000000-0004-0000-0200-000014020000}"/>
    <hyperlink ref="F451" r:id="rId534" xr:uid="{00000000-0004-0000-0200-000015020000}"/>
    <hyperlink ref="S451" r:id="rId535" xr:uid="{00000000-0004-0000-0200-000016020000}"/>
    <hyperlink ref="F453" r:id="rId536" xr:uid="{00000000-0004-0000-0200-000017020000}"/>
    <hyperlink ref="F454" r:id="rId537" xr:uid="{00000000-0004-0000-0200-000018020000}"/>
    <hyperlink ref="F455" r:id="rId538" xr:uid="{00000000-0004-0000-0200-000019020000}"/>
    <hyperlink ref="F456" r:id="rId539" xr:uid="{00000000-0004-0000-0200-00001A020000}"/>
    <hyperlink ref="G456" r:id="rId540" xr:uid="{00000000-0004-0000-0200-00001B020000}"/>
    <hyperlink ref="F457" r:id="rId541" xr:uid="{00000000-0004-0000-0200-00001C020000}"/>
    <hyperlink ref="S457" r:id="rId542" xr:uid="{00000000-0004-0000-0200-00001D020000}"/>
    <hyperlink ref="F458" r:id="rId543" xr:uid="{00000000-0004-0000-0200-00001E020000}"/>
    <hyperlink ref="G459" r:id="rId544" xr:uid="{00000000-0004-0000-0200-00001F020000}"/>
    <hyperlink ref="G460" r:id="rId545" xr:uid="{00000000-0004-0000-0200-000020020000}"/>
    <hyperlink ref="S460" r:id="rId546" xr:uid="{00000000-0004-0000-0200-000021020000}"/>
    <hyperlink ref="S461" r:id="rId547" xr:uid="{00000000-0004-0000-0200-000022020000}"/>
    <hyperlink ref="F462" r:id="rId548" xr:uid="{00000000-0004-0000-0200-000023020000}"/>
    <hyperlink ref="F463" r:id="rId549" xr:uid="{00000000-0004-0000-0200-000024020000}"/>
    <hyperlink ref="F464" r:id="rId550" xr:uid="{00000000-0004-0000-0200-000025020000}"/>
    <hyperlink ref="S464" r:id="rId551" xr:uid="{00000000-0004-0000-0200-000026020000}"/>
    <hyperlink ref="F466" r:id="rId552" xr:uid="{00000000-0004-0000-0200-000027020000}"/>
    <hyperlink ref="G466" r:id="rId553" xr:uid="{00000000-0004-0000-0200-000028020000}"/>
    <hyperlink ref="S466" r:id="rId554" xr:uid="{00000000-0004-0000-0200-000029020000}"/>
    <hyperlink ref="F467" r:id="rId555" xr:uid="{00000000-0004-0000-0200-00002A020000}"/>
    <hyperlink ref="S467" r:id="rId556" xr:uid="{00000000-0004-0000-0200-00002B020000}"/>
    <hyperlink ref="S469" r:id="rId557" xr:uid="{00000000-0004-0000-0200-00002C020000}"/>
    <hyperlink ref="S470" r:id="rId558" xr:uid="{00000000-0004-0000-0200-00002D020000}"/>
    <hyperlink ref="F471" r:id="rId559" xr:uid="{00000000-0004-0000-0200-00002E020000}"/>
    <hyperlink ref="F472" r:id="rId560" xr:uid="{00000000-0004-0000-0200-00002F020000}"/>
    <hyperlink ref="S472" r:id="rId561" xr:uid="{00000000-0004-0000-0200-000030020000}"/>
    <hyperlink ref="F473" r:id="rId562" xr:uid="{00000000-0004-0000-0200-000031020000}"/>
    <hyperlink ref="F475" r:id="rId563" xr:uid="{00000000-0004-0000-0200-000032020000}"/>
    <hyperlink ref="G478" r:id="rId564" xr:uid="{00000000-0004-0000-0200-000033020000}"/>
    <hyperlink ref="F479" r:id="rId565" xr:uid="{00000000-0004-0000-0200-000034020000}"/>
    <hyperlink ref="F480" r:id="rId566" xr:uid="{00000000-0004-0000-0200-000035020000}"/>
    <hyperlink ref="F483" r:id="rId567" xr:uid="{00000000-0004-0000-0200-000036020000}"/>
    <hyperlink ref="S483" r:id="rId568" xr:uid="{00000000-0004-0000-0200-000037020000}"/>
    <hyperlink ref="F484" r:id="rId569" xr:uid="{00000000-0004-0000-0200-000038020000}"/>
    <hyperlink ref="S484" r:id="rId570" xr:uid="{00000000-0004-0000-0200-000039020000}"/>
    <hyperlink ref="G485" r:id="rId571" xr:uid="{00000000-0004-0000-0200-00003A020000}"/>
    <hyperlink ref="F486" r:id="rId572" xr:uid="{00000000-0004-0000-0200-00003B020000}"/>
    <hyperlink ref="F487" r:id="rId573" xr:uid="{00000000-0004-0000-0200-00003C020000}"/>
    <hyperlink ref="F489" r:id="rId574" xr:uid="{00000000-0004-0000-0200-00003D020000}"/>
    <hyperlink ref="F492" r:id="rId575" xr:uid="{00000000-0004-0000-0200-00003E020000}"/>
    <hyperlink ref="F493" r:id="rId576" xr:uid="{00000000-0004-0000-0200-00003F020000}"/>
    <hyperlink ref="F494" r:id="rId577" xr:uid="{00000000-0004-0000-0200-000040020000}"/>
    <hyperlink ref="F495" r:id="rId578" xr:uid="{00000000-0004-0000-0200-000041020000}"/>
    <hyperlink ref="F496" r:id="rId579" xr:uid="{00000000-0004-0000-0200-000042020000}"/>
    <hyperlink ref="F497" r:id="rId580" xr:uid="{00000000-0004-0000-0200-000043020000}"/>
    <hyperlink ref="F498" r:id="rId581" xr:uid="{00000000-0004-0000-0200-000044020000}"/>
    <hyperlink ref="S498" r:id="rId582" xr:uid="{00000000-0004-0000-0200-000045020000}"/>
    <hyperlink ref="F499" r:id="rId583" xr:uid="{00000000-0004-0000-0200-000046020000}"/>
    <hyperlink ref="F500" r:id="rId584" xr:uid="{00000000-0004-0000-0200-000047020000}"/>
    <hyperlink ref="S501" r:id="rId585" xr:uid="{00000000-0004-0000-0200-000048020000}"/>
    <hyperlink ref="F502" r:id="rId586" xr:uid="{00000000-0004-0000-0200-000049020000}"/>
    <hyperlink ref="F504" r:id="rId587" xr:uid="{00000000-0004-0000-0200-00004A020000}"/>
    <hyperlink ref="G504" r:id="rId588" xr:uid="{00000000-0004-0000-0200-00004B020000}"/>
    <hyperlink ref="S504" r:id="rId589" xr:uid="{00000000-0004-0000-0200-00004C020000}"/>
    <hyperlink ref="G505" r:id="rId590" xr:uid="{00000000-0004-0000-0200-00004D020000}"/>
    <hyperlink ref="S506" r:id="rId591" xr:uid="{00000000-0004-0000-0200-00004E020000}"/>
    <hyperlink ref="F507" r:id="rId592" xr:uid="{00000000-0004-0000-0200-00004F020000}"/>
    <hyperlink ref="G508" r:id="rId593" xr:uid="{00000000-0004-0000-0200-000050020000}"/>
    <hyperlink ref="S508" r:id="rId594" xr:uid="{00000000-0004-0000-0200-000051020000}"/>
    <hyperlink ref="F509" r:id="rId595" xr:uid="{00000000-0004-0000-0200-000052020000}"/>
    <hyperlink ref="F510" r:id="rId596" xr:uid="{00000000-0004-0000-0200-000053020000}"/>
    <hyperlink ref="S510" r:id="rId597" xr:uid="{00000000-0004-0000-0200-000054020000}"/>
    <hyperlink ref="G511" r:id="rId598" xr:uid="{00000000-0004-0000-0200-000055020000}"/>
    <hyperlink ref="S511" r:id="rId599" xr:uid="{00000000-0004-0000-0200-000056020000}"/>
    <hyperlink ref="S512" r:id="rId600" xr:uid="{00000000-0004-0000-0200-000057020000}"/>
    <hyperlink ref="F513" r:id="rId601" xr:uid="{00000000-0004-0000-0200-000058020000}"/>
    <hyperlink ref="G513" r:id="rId602" xr:uid="{00000000-0004-0000-0200-000059020000}"/>
    <hyperlink ref="S513" r:id="rId603" xr:uid="{00000000-0004-0000-0200-00005A020000}"/>
    <hyperlink ref="S514" r:id="rId604" xr:uid="{00000000-0004-0000-0200-00005B020000}"/>
    <hyperlink ref="S515" r:id="rId605" xr:uid="{00000000-0004-0000-0200-00005C020000}"/>
    <hyperlink ref="F516" r:id="rId606" xr:uid="{00000000-0004-0000-0200-00005D020000}"/>
    <hyperlink ref="S516" r:id="rId607" xr:uid="{00000000-0004-0000-0200-00005E020000}"/>
    <hyperlink ref="F517" r:id="rId608" xr:uid="{00000000-0004-0000-0200-00005F020000}"/>
    <hyperlink ref="G517" r:id="rId609" xr:uid="{00000000-0004-0000-0200-000060020000}"/>
    <hyperlink ref="S517" r:id="rId610" xr:uid="{00000000-0004-0000-0200-000061020000}"/>
    <hyperlink ref="F518" r:id="rId611" xr:uid="{00000000-0004-0000-0200-000062020000}"/>
    <hyperlink ref="F519" r:id="rId612" xr:uid="{00000000-0004-0000-0200-000063020000}"/>
    <hyperlink ref="F520" r:id="rId613" xr:uid="{00000000-0004-0000-0200-000064020000}"/>
    <hyperlink ref="S520" r:id="rId614" xr:uid="{00000000-0004-0000-0200-000065020000}"/>
    <hyperlink ref="S521" r:id="rId615" xr:uid="{00000000-0004-0000-0200-000066020000}"/>
    <hyperlink ref="F523" r:id="rId616" xr:uid="{00000000-0004-0000-0200-000067020000}"/>
    <hyperlink ref="G523" r:id="rId617" xr:uid="{00000000-0004-0000-0200-000068020000}"/>
    <hyperlink ref="F524" r:id="rId618" xr:uid="{00000000-0004-0000-0200-000069020000}"/>
    <hyperlink ref="F525" r:id="rId619" xr:uid="{00000000-0004-0000-0200-00006A020000}"/>
    <hyperlink ref="G525" r:id="rId620" xr:uid="{00000000-0004-0000-0200-00006B020000}"/>
    <hyperlink ref="F526" r:id="rId621" xr:uid="{00000000-0004-0000-0200-00006C020000}"/>
    <hyperlink ref="F527" r:id="rId622" xr:uid="{00000000-0004-0000-0200-00006D020000}"/>
    <hyperlink ref="G529" r:id="rId623" xr:uid="{00000000-0004-0000-0200-00006E020000}"/>
    <hyperlink ref="S529" r:id="rId624" xr:uid="{00000000-0004-0000-0200-00006F020000}"/>
    <hyperlink ref="S531" r:id="rId625" xr:uid="{00000000-0004-0000-0200-000070020000}"/>
    <hyperlink ref="F532" r:id="rId626" xr:uid="{00000000-0004-0000-0200-000071020000}"/>
    <hyperlink ref="F533" r:id="rId627" xr:uid="{00000000-0004-0000-0200-000072020000}"/>
    <hyperlink ref="S534" r:id="rId628" xr:uid="{00000000-0004-0000-0200-000073020000}"/>
    <hyperlink ref="F536" r:id="rId629" xr:uid="{00000000-0004-0000-0200-000074020000}"/>
    <hyperlink ref="F537" r:id="rId630" xr:uid="{00000000-0004-0000-0200-000075020000}"/>
    <hyperlink ref="F538" r:id="rId631" xr:uid="{00000000-0004-0000-0200-000076020000}"/>
    <hyperlink ref="S538" r:id="rId632" xr:uid="{00000000-0004-0000-0200-000077020000}"/>
    <hyperlink ref="F539" r:id="rId633" xr:uid="{00000000-0004-0000-0200-000078020000}"/>
    <hyperlink ref="F541" r:id="rId634" xr:uid="{00000000-0004-0000-0200-000079020000}"/>
    <hyperlink ref="S541" r:id="rId635" xr:uid="{00000000-0004-0000-0200-00007A020000}"/>
    <hyperlink ref="G543" r:id="rId636" xr:uid="{00000000-0004-0000-0200-00007B020000}"/>
    <hyperlink ref="S543" r:id="rId637" xr:uid="{00000000-0004-0000-0200-00007C020000}"/>
    <hyperlink ref="F544" r:id="rId638" xr:uid="{00000000-0004-0000-0200-00007D020000}"/>
    <hyperlink ref="S544" r:id="rId639" xr:uid="{00000000-0004-0000-0200-00007E020000}"/>
    <hyperlink ref="S545" r:id="rId640" xr:uid="{00000000-0004-0000-0200-00007F020000}"/>
    <hyperlink ref="F546" r:id="rId641" xr:uid="{00000000-0004-0000-0200-000080020000}"/>
    <hyperlink ref="S547" r:id="rId642" xr:uid="{00000000-0004-0000-0200-000081020000}"/>
    <hyperlink ref="S548" r:id="rId643" xr:uid="{00000000-0004-0000-0200-000082020000}"/>
    <hyperlink ref="F549" r:id="rId644" xr:uid="{00000000-0004-0000-0200-000083020000}"/>
    <hyperlink ref="S549" r:id="rId645" xr:uid="{00000000-0004-0000-0200-000084020000}"/>
    <hyperlink ref="F550" r:id="rId646" xr:uid="{00000000-0004-0000-0200-000085020000}"/>
    <hyperlink ref="S551" r:id="rId647" xr:uid="{00000000-0004-0000-0200-000086020000}"/>
    <hyperlink ref="F554" r:id="rId648" xr:uid="{00000000-0004-0000-0200-000087020000}"/>
    <hyperlink ref="S554" r:id="rId649" xr:uid="{00000000-0004-0000-0200-000088020000}"/>
    <hyperlink ref="F555" r:id="rId650" xr:uid="{00000000-0004-0000-0200-000089020000}"/>
    <hyperlink ref="F556" r:id="rId651" xr:uid="{00000000-0004-0000-0200-00008A020000}"/>
    <hyperlink ref="G559" r:id="rId652" xr:uid="{00000000-0004-0000-0200-00008B020000}"/>
    <hyperlink ref="F560" r:id="rId653" xr:uid="{00000000-0004-0000-0200-00008C020000}"/>
    <hyperlink ref="F561" r:id="rId654" xr:uid="{00000000-0004-0000-0200-00008D020000}"/>
    <hyperlink ref="F562" r:id="rId655" xr:uid="{00000000-0004-0000-0200-00008E020000}"/>
    <hyperlink ref="G562" r:id="rId656" xr:uid="{00000000-0004-0000-0200-00008F020000}"/>
    <hyperlink ref="G563" r:id="rId657" xr:uid="{00000000-0004-0000-0200-000090020000}"/>
    <hyperlink ref="S563" r:id="rId658" xr:uid="{00000000-0004-0000-0200-000091020000}"/>
    <hyperlink ref="G564" r:id="rId659" xr:uid="{00000000-0004-0000-0200-000092020000}"/>
    <hyperlink ref="F565" r:id="rId660" xr:uid="{00000000-0004-0000-0200-000093020000}"/>
    <hyperlink ref="S566" r:id="rId661" xr:uid="{00000000-0004-0000-0200-000094020000}"/>
    <hyperlink ref="G567" r:id="rId662" xr:uid="{00000000-0004-0000-0200-000095020000}"/>
    <hyperlink ref="S567" r:id="rId663" xr:uid="{00000000-0004-0000-0200-000096020000}"/>
    <hyperlink ref="G568" r:id="rId664" xr:uid="{00000000-0004-0000-0200-000097020000}"/>
    <hyperlink ref="F570" r:id="rId665" xr:uid="{00000000-0004-0000-0200-000098020000}"/>
    <hyperlink ref="S570" r:id="rId666" xr:uid="{00000000-0004-0000-0200-000099020000}"/>
    <hyperlink ref="F571" r:id="rId667" xr:uid="{00000000-0004-0000-0200-00009A020000}"/>
    <hyperlink ref="F572" r:id="rId668" xr:uid="{00000000-0004-0000-0200-00009B020000}"/>
    <hyperlink ref="S573" r:id="rId669" xr:uid="{00000000-0004-0000-0200-00009C020000}"/>
    <hyperlink ref="F574" r:id="rId670" xr:uid="{00000000-0004-0000-0200-00009D020000}"/>
    <hyperlink ref="F575" r:id="rId671" xr:uid="{00000000-0004-0000-0200-00009E020000}"/>
    <hyperlink ref="S575" r:id="rId672" xr:uid="{00000000-0004-0000-0200-00009F020000}"/>
    <hyperlink ref="F576" r:id="rId673" xr:uid="{00000000-0004-0000-0200-0000A0020000}"/>
    <hyperlink ref="S576" r:id="rId674" xr:uid="{00000000-0004-0000-0200-0000A1020000}"/>
    <hyperlink ref="F577" r:id="rId675" xr:uid="{00000000-0004-0000-0200-0000A2020000}"/>
    <hyperlink ref="F578" r:id="rId676" xr:uid="{00000000-0004-0000-0200-0000A3020000}"/>
    <hyperlink ref="S578" r:id="rId677" xr:uid="{00000000-0004-0000-0200-0000A4020000}"/>
    <hyperlink ref="G579" r:id="rId678" xr:uid="{00000000-0004-0000-0200-0000A5020000}"/>
    <hyperlink ref="S579" r:id="rId679" xr:uid="{00000000-0004-0000-0200-0000A6020000}"/>
    <hyperlink ref="G580" r:id="rId680" xr:uid="{00000000-0004-0000-0200-0000A7020000}"/>
    <hyperlink ref="S580" r:id="rId681" xr:uid="{00000000-0004-0000-0200-0000A8020000}"/>
    <hyperlink ref="F581" r:id="rId682" xr:uid="{00000000-0004-0000-0200-0000A9020000}"/>
    <hyperlink ref="F582" r:id="rId683" xr:uid="{00000000-0004-0000-0200-0000AA020000}"/>
    <hyperlink ref="F583" r:id="rId684" xr:uid="{00000000-0004-0000-0200-0000AB020000}"/>
    <hyperlink ref="F584" r:id="rId685" xr:uid="{00000000-0004-0000-0200-0000AC020000}"/>
    <hyperlink ref="F586" r:id="rId686" xr:uid="{00000000-0004-0000-0200-0000AD020000}"/>
    <hyperlink ref="G587" r:id="rId687" xr:uid="{00000000-0004-0000-0200-0000AE020000}"/>
    <hyperlink ref="S587" r:id="rId688" xr:uid="{00000000-0004-0000-0200-0000AF020000}"/>
    <hyperlink ref="F588" r:id="rId689" xr:uid="{00000000-0004-0000-0200-0000B0020000}"/>
    <hyperlink ref="S588" r:id="rId690" xr:uid="{00000000-0004-0000-0200-0000B1020000}"/>
    <hyperlink ref="S589" r:id="rId691" xr:uid="{00000000-0004-0000-0200-0000B2020000}"/>
    <hyperlink ref="G590" r:id="rId692" xr:uid="{00000000-0004-0000-0200-0000B3020000}"/>
    <hyperlink ref="S591" r:id="rId693" xr:uid="{00000000-0004-0000-0200-0000B4020000}"/>
    <hyperlink ref="G592" r:id="rId694" xr:uid="{00000000-0004-0000-0200-0000B5020000}"/>
    <hyperlink ref="S592" r:id="rId695" xr:uid="{00000000-0004-0000-0200-0000B6020000}"/>
    <hyperlink ref="F593" r:id="rId696" xr:uid="{00000000-0004-0000-0200-0000B7020000}"/>
    <hyperlink ref="F594" r:id="rId697" xr:uid="{00000000-0004-0000-0200-0000B8020000}"/>
    <hyperlink ref="S594" r:id="rId698" xr:uid="{00000000-0004-0000-0200-0000B9020000}"/>
    <hyperlink ref="F596" r:id="rId699" xr:uid="{00000000-0004-0000-0200-0000BA020000}"/>
    <hyperlink ref="S596" r:id="rId700" xr:uid="{00000000-0004-0000-0200-0000BB020000}"/>
    <hyperlink ref="F598" r:id="rId701" xr:uid="{00000000-0004-0000-0200-0000BC020000}"/>
    <hyperlink ref="S599" r:id="rId702" xr:uid="{00000000-0004-0000-0200-0000BD020000}"/>
    <hyperlink ref="G600" r:id="rId703" xr:uid="{00000000-0004-0000-0200-0000BE020000}"/>
    <hyperlink ref="F601" r:id="rId704" xr:uid="{00000000-0004-0000-0200-0000BF020000}"/>
    <hyperlink ref="S601" r:id="rId705" xr:uid="{00000000-0004-0000-0200-0000C0020000}"/>
    <hyperlink ref="F602" r:id="rId706" xr:uid="{00000000-0004-0000-0200-0000C1020000}"/>
    <hyperlink ref="F603" r:id="rId707" xr:uid="{00000000-0004-0000-0200-0000C2020000}"/>
    <hyperlink ref="G603" r:id="rId708" xr:uid="{00000000-0004-0000-0200-0000C3020000}"/>
    <hyperlink ref="F604" r:id="rId709" xr:uid="{00000000-0004-0000-0200-0000C4020000}"/>
    <hyperlink ref="S604" r:id="rId710" xr:uid="{00000000-0004-0000-0200-0000C5020000}"/>
    <hyperlink ref="F605" r:id="rId711" xr:uid="{00000000-0004-0000-0200-0000C6020000}"/>
    <hyperlink ref="G606" r:id="rId712" xr:uid="{00000000-0004-0000-0200-0000C7020000}"/>
    <hyperlink ref="S606" r:id="rId713" xr:uid="{00000000-0004-0000-0200-0000C8020000}"/>
    <hyperlink ref="G608" r:id="rId714" xr:uid="{00000000-0004-0000-0200-0000C9020000}"/>
    <hyperlink ref="S608" r:id="rId715" xr:uid="{00000000-0004-0000-0200-0000CA020000}"/>
    <hyperlink ref="F609" r:id="rId716" xr:uid="{00000000-0004-0000-0200-0000CB020000}"/>
    <hyperlink ref="S609" r:id="rId717" xr:uid="{00000000-0004-0000-0200-0000CC020000}"/>
    <hyperlink ref="F611" r:id="rId718" xr:uid="{00000000-0004-0000-0200-0000CD020000}"/>
    <hyperlink ref="F612" r:id="rId719" xr:uid="{00000000-0004-0000-0200-0000CE020000}"/>
    <hyperlink ref="S612" r:id="rId720" xr:uid="{00000000-0004-0000-0200-0000CF020000}"/>
    <hyperlink ref="F614" r:id="rId721" xr:uid="{00000000-0004-0000-0200-0000D0020000}"/>
    <hyperlink ref="S614" r:id="rId722" xr:uid="{00000000-0004-0000-0200-0000D1020000}"/>
    <hyperlink ref="F615" r:id="rId723" xr:uid="{00000000-0004-0000-0200-0000D2020000}"/>
    <hyperlink ref="S616" r:id="rId724" xr:uid="{00000000-0004-0000-0200-0000D3020000}"/>
    <hyperlink ref="F617" r:id="rId725" xr:uid="{00000000-0004-0000-0200-0000D4020000}"/>
    <hyperlink ref="G618" r:id="rId726" xr:uid="{00000000-0004-0000-0200-0000D5020000}"/>
    <hyperlink ref="F619" r:id="rId727" xr:uid="{00000000-0004-0000-0200-0000D6020000}"/>
    <hyperlink ref="S619" r:id="rId728" xr:uid="{00000000-0004-0000-0200-0000D7020000}"/>
    <hyperlink ref="F620" r:id="rId729" xr:uid="{00000000-0004-0000-0200-0000D8020000}"/>
    <hyperlink ref="F621" r:id="rId730" xr:uid="{00000000-0004-0000-0200-0000D9020000}"/>
    <hyperlink ref="G621" r:id="rId731" xr:uid="{00000000-0004-0000-0200-0000DA020000}"/>
    <hyperlink ref="S621" r:id="rId732" xr:uid="{00000000-0004-0000-0200-0000DB020000}"/>
    <hyperlink ref="F622" r:id="rId733" xr:uid="{00000000-0004-0000-0200-0000DC020000}"/>
    <hyperlink ref="F623" r:id="rId734" xr:uid="{00000000-0004-0000-0200-0000DD020000}"/>
    <hyperlink ref="G623" r:id="rId735" xr:uid="{00000000-0004-0000-0200-0000DE020000}"/>
    <hyperlink ref="S624" r:id="rId736" xr:uid="{00000000-0004-0000-0200-0000DF020000}"/>
    <hyperlink ref="F625" r:id="rId737" xr:uid="{00000000-0004-0000-0200-0000E0020000}"/>
    <hyperlink ref="S627" r:id="rId738" xr:uid="{00000000-0004-0000-0200-0000E1020000}"/>
    <hyperlink ref="S628" r:id="rId739" xr:uid="{00000000-0004-0000-0200-0000E2020000}"/>
    <hyperlink ref="F629" r:id="rId740" xr:uid="{00000000-0004-0000-0200-0000E3020000}"/>
    <hyperlink ref="F630" r:id="rId741" xr:uid="{00000000-0004-0000-0200-0000E4020000}"/>
    <hyperlink ref="S630" r:id="rId742" xr:uid="{00000000-0004-0000-0200-0000E5020000}"/>
    <hyperlink ref="F632" r:id="rId743" xr:uid="{00000000-0004-0000-0200-0000E6020000}"/>
    <hyperlink ref="F633" r:id="rId744" xr:uid="{00000000-0004-0000-0200-0000E7020000}"/>
    <hyperlink ref="S636" r:id="rId745" xr:uid="{00000000-0004-0000-0200-0000E8020000}"/>
    <hyperlink ref="G637" r:id="rId746" xr:uid="{00000000-0004-0000-0200-0000E9020000}"/>
    <hyperlink ref="G639" r:id="rId747" xr:uid="{00000000-0004-0000-0200-0000EA020000}"/>
    <hyperlink ref="S639" r:id="rId748" xr:uid="{00000000-0004-0000-0200-0000EB020000}"/>
    <hyperlink ref="G640" r:id="rId749" xr:uid="{00000000-0004-0000-0200-0000EC020000}"/>
    <hyperlink ref="F642" r:id="rId750" xr:uid="{00000000-0004-0000-0200-0000ED020000}"/>
    <hyperlink ref="S642" r:id="rId751" xr:uid="{00000000-0004-0000-0200-0000EE020000}"/>
    <hyperlink ref="G643" r:id="rId752" xr:uid="{00000000-0004-0000-0200-0000EF020000}"/>
    <hyperlink ref="S644" r:id="rId753" xr:uid="{00000000-0004-0000-0200-0000F0020000}"/>
    <hyperlink ref="G645" r:id="rId754" xr:uid="{00000000-0004-0000-0200-0000F1020000}"/>
    <hyperlink ref="S645" r:id="rId755" xr:uid="{00000000-0004-0000-0200-0000F2020000}"/>
    <hyperlink ref="F647" r:id="rId756" xr:uid="{00000000-0004-0000-0200-0000F3020000}"/>
    <hyperlink ref="S647" r:id="rId757" xr:uid="{00000000-0004-0000-0200-0000F4020000}"/>
    <hyperlink ref="G648" r:id="rId758" xr:uid="{00000000-0004-0000-0200-0000F5020000}"/>
    <hyperlink ref="S648" r:id="rId759" xr:uid="{00000000-0004-0000-0200-0000F6020000}"/>
    <hyperlink ref="S649" r:id="rId760" xr:uid="{00000000-0004-0000-0200-0000F7020000}"/>
    <hyperlink ref="F650" r:id="rId761" xr:uid="{00000000-0004-0000-0200-0000F8020000}"/>
    <hyperlink ref="F651" r:id="rId762" xr:uid="{00000000-0004-0000-0200-0000F9020000}"/>
    <hyperlink ref="F653" r:id="rId763" xr:uid="{00000000-0004-0000-0200-0000FA020000}"/>
    <hyperlink ref="S653" r:id="rId764" xr:uid="{00000000-0004-0000-0200-0000FB020000}"/>
    <hyperlink ref="G654" r:id="rId765" xr:uid="{00000000-0004-0000-0200-0000FC020000}"/>
    <hyperlink ref="F656" r:id="rId766" location=".W_aP1DFjNCc.facebook" xr:uid="{00000000-0004-0000-0200-0000FD020000}"/>
    <hyperlink ref="S659" r:id="rId767" xr:uid="{00000000-0004-0000-0200-0000FE020000}"/>
    <hyperlink ref="F660" r:id="rId768" xr:uid="{00000000-0004-0000-0200-0000FF020000}"/>
    <hyperlink ref="S660" r:id="rId769" xr:uid="{00000000-0004-0000-0200-000000030000}"/>
    <hyperlink ref="F661" r:id="rId770" xr:uid="{00000000-0004-0000-0200-000001030000}"/>
    <hyperlink ref="F663" r:id="rId771" xr:uid="{00000000-0004-0000-0200-000002030000}"/>
    <hyperlink ref="S663" r:id="rId772" xr:uid="{00000000-0004-0000-0200-000003030000}"/>
    <hyperlink ref="F664" r:id="rId773" xr:uid="{00000000-0004-0000-0200-000004030000}"/>
    <hyperlink ref="S664" r:id="rId774" xr:uid="{00000000-0004-0000-0200-000005030000}"/>
    <hyperlink ref="S665" r:id="rId775" xr:uid="{00000000-0004-0000-0200-000006030000}"/>
    <hyperlink ref="F666" r:id="rId776" xr:uid="{00000000-0004-0000-0200-000007030000}"/>
    <hyperlink ref="G666" r:id="rId777" xr:uid="{00000000-0004-0000-0200-000008030000}"/>
    <hyperlink ref="S666" r:id="rId778" xr:uid="{00000000-0004-0000-0200-000009030000}"/>
    <hyperlink ref="S667" r:id="rId779" xr:uid="{00000000-0004-0000-0200-00000A030000}"/>
    <hyperlink ref="S668" r:id="rId780" xr:uid="{00000000-0004-0000-0200-00000B030000}"/>
    <hyperlink ref="G670" r:id="rId781" xr:uid="{00000000-0004-0000-0200-00000C030000}"/>
    <hyperlink ref="S678" r:id="rId782" xr:uid="{00000000-0004-0000-0200-00000D030000}"/>
    <hyperlink ref="G679" r:id="rId783" xr:uid="{00000000-0004-0000-0200-00000E030000}"/>
    <hyperlink ref="S680" r:id="rId784" xr:uid="{00000000-0004-0000-0200-00000F030000}"/>
    <hyperlink ref="G683" r:id="rId785" xr:uid="{00000000-0004-0000-0200-000010030000}"/>
    <hyperlink ref="S683" r:id="rId786" xr:uid="{00000000-0004-0000-0200-000011030000}"/>
    <hyperlink ref="S685" r:id="rId787" xr:uid="{00000000-0004-0000-0200-000012030000}"/>
    <hyperlink ref="S689" r:id="rId788" xr:uid="{00000000-0004-0000-0200-000013030000}"/>
    <hyperlink ref="F690" r:id="rId789" xr:uid="{00000000-0004-0000-0200-000014030000}"/>
    <hyperlink ref="G691" r:id="rId790" xr:uid="{00000000-0004-0000-0200-000015030000}"/>
    <hyperlink ref="F692" r:id="rId791" xr:uid="{00000000-0004-0000-0200-000016030000}"/>
    <hyperlink ref="F694" r:id="rId792" xr:uid="{00000000-0004-0000-0200-000017030000}"/>
    <hyperlink ref="S694" r:id="rId793" xr:uid="{00000000-0004-0000-0200-000018030000}"/>
    <hyperlink ref="F695" r:id="rId794" xr:uid="{00000000-0004-0000-0200-000019030000}"/>
    <hyperlink ref="F696" r:id="rId795" xr:uid="{00000000-0004-0000-0200-00001A030000}"/>
    <hyperlink ref="F697" r:id="rId796" xr:uid="{00000000-0004-0000-0200-00001B030000}"/>
    <hyperlink ref="S698" r:id="rId797" xr:uid="{00000000-0004-0000-0200-00001C030000}"/>
    <hyperlink ref="G699" r:id="rId798" xr:uid="{00000000-0004-0000-0200-00001D030000}"/>
    <hyperlink ref="S702" r:id="rId799" xr:uid="{00000000-0004-0000-0200-00001E030000}"/>
    <hyperlink ref="F703" r:id="rId800" xr:uid="{00000000-0004-0000-0200-00001F030000}"/>
    <hyperlink ref="S704" r:id="rId801" xr:uid="{00000000-0004-0000-0200-000020030000}"/>
    <hyperlink ref="F706" r:id="rId802" xr:uid="{00000000-0004-0000-0200-000021030000}"/>
    <hyperlink ref="S706" r:id="rId803" xr:uid="{00000000-0004-0000-0200-000022030000}"/>
    <hyperlink ref="F707" r:id="rId804" xr:uid="{00000000-0004-0000-0200-000023030000}"/>
    <hyperlink ref="F708" r:id="rId805" xr:uid="{00000000-0004-0000-0200-000024030000}"/>
    <hyperlink ref="F709" r:id="rId806" xr:uid="{00000000-0004-0000-0200-000025030000}"/>
    <hyperlink ref="S709" r:id="rId807" xr:uid="{00000000-0004-0000-0200-000026030000}"/>
    <hyperlink ref="F710" r:id="rId808" xr:uid="{00000000-0004-0000-0200-000027030000}"/>
    <hyperlink ref="S710" r:id="rId809" xr:uid="{00000000-0004-0000-0200-000028030000}"/>
    <hyperlink ref="S712" r:id="rId810" xr:uid="{00000000-0004-0000-0200-000029030000}"/>
    <hyperlink ref="F713" r:id="rId811" xr:uid="{00000000-0004-0000-0200-00002A030000}"/>
    <hyperlink ref="G713" r:id="rId812" xr:uid="{00000000-0004-0000-0200-00002B030000}"/>
    <hyperlink ref="S713" r:id="rId813" xr:uid="{00000000-0004-0000-0200-00002C030000}"/>
    <hyperlink ref="F714" r:id="rId814" xr:uid="{00000000-0004-0000-0200-00002D030000}"/>
    <hyperlink ref="G715" r:id="rId815" xr:uid="{00000000-0004-0000-0200-00002E030000}"/>
    <hyperlink ref="S715" r:id="rId816" xr:uid="{00000000-0004-0000-0200-00002F030000}"/>
    <hyperlink ref="G716" r:id="rId817" xr:uid="{00000000-0004-0000-0200-000030030000}"/>
    <hyperlink ref="S716" r:id="rId818" xr:uid="{00000000-0004-0000-0200-000031030000}"/>
    <hyperlink ref="G717" r:id="rId819" xr:uid="{00000000-0004-0000-0200-000032030000}"/>
    <hyperlink ref="S717" r:id="rId820" xr:uid="{00000000-0004-0000-0200-000033030000}"/>
    <hyperlink ref="G718" r:id="rId821" xr:uid="{00000000-0004-0000-0200-000034030000}"/>
    <hyperlink ref="S718" r:id="rId822" xr:uid="{00000000-0004-0000-0200-000035030000}"/>
    <hyperlink ref="F719" r:id="rId823" xr:uid="{00000000-0004-0000-0200-000036030000}"/>
    <hyperlink ref="S719" r:id="rId824" xr:uid="{00000000-0004-0000-0200-000037030000}"/>
    <hyperlink ref="G720" r:id="rId825" xr:uid="{00000000-0004-0000-0200-000038030000}"/>
    <hyperlink ref="S720" r:id="rId826" xr:uid="{00000000-0004-0000-0200-000039030000}"/>
    <hyperlink ref="S722" r:id="rId827" xr:uid="{00000000-0004-0000-0200-00003A030000}"/>
    <hyperlink ref="F723" r:id="rId828" xr:uid="{00000000-0004-0000-0200-00003B030000}"/>
    <hyperlink ref="F724" r:id="rId829" xr:uid="{00000000-0004-0000-0200-00003C030000}"/>
    <hyperlink ref="S724" r:id="rId830" xr:uid="{00000000-0004-0000-0200-00003D030000}"/>
    <hyperlink ref="G725" r:id="rId831" xr:uid="{00000000-0004-0000-0200-00003E030000}"/>
    <hyperlink ref="F726" r:id="rId832" xr:uid="{00000000-0004-0000-0200-00003F030000}"/>
    <hyperlink ref="F727" r:id="rId833" xr:uid="{00000000-0004-0000-0200-000040030000}"/>
    <hyperlink ref="S728" r:id="rId834" xr:uid="{00000000-0004-0000-0200-000041030000}"/>
    <hyperlink ref="S729" r:id="rId835" xr:uid="{00000000-0004-0000-0200-000042030000}"/>
    <hyperlink ref="S730" r:id="rId836" xr:uid="{00000000-0004-0000-0200-000043030000}"/>
    <hyperlink ref="S731" r:id="rId837" xr:uid="{00000000-0004-0000-0200-000044030000}"/>
    <hyperlink ref="F733" r:id="rId838" xr:uid="{00000000-0004-0000-0200-000045030000}"/>
    <hyperlink ref="F737" r:id="rId839" xr:uid="{00000000-0004-0000-0200-000046030000}"/>
    <hyperlink ref="G737" r:id="rId840" xr:uid="{00000000-0004-0000-0200-000047030000}"/>
    <hyperlink ref="G738" r:id="rId841" xr:uid="{00000000-0004-0000-0200-000048030000}"/>
    <hyperlink ref="F739" r:id="rId842" xr:uid="{00000000-0004-0000-0200-000049030000}"/>
    <hyperlink ref="S739" r:id="rId843" xr:uid="{00000000-0004-0000-0200-00004A030000}"/>
    <hyperlink ref="F740" r:id="rId844" xr:uid="{00000000-0004-0000-0200-00004B030000}"/>
    <hyperlink ref="G740" r:id="rId845" xr:uid="{00000000-0004-0000-0200-00004C030000}"/>
    <hyperlink ref="S740" r:id="rId846" xr:uid="{00000000-0004-0000-0200-00004D030000}"/>
    <hyperlink ref="F741" r:id="rId847" xr:uid="{00000000-0004-0000-0200-00004E030000}"/>
    <hyperlink ref="S741" r:id="rId848" xr:uid="{00000000-0004-0000-0200-00004F030000}"/>
    <hyperlink ref="G742" r:id="rId849" xr:uid="{00000000-0004-0000-0200-000050030000}"/>
    <hyperlink ref="G743" r:id="rId850" xr:uid="{00000000-0004-0000-0200-000051030000}"/>
    <hyperlink ref="S743" r:id="rId851" xr:uid="{00000000-0004-0000-0200-000052030000}"/>
    <hyperlink ref="G744" r:id="rId852" xr:uid="{00000000-0004-0000-0200-000053030000}"/>
    <hyperlink ref="F745" r:id="rId853" xr:uid="{00000000-0004-0000-0200-000054030000}"/>
    <hyperlink ref="S746" r:id="rId854" xr:uid="{00000000-0004-0000-0200-000055030000}"/>
    <hyperlink ref="G751" r:id="rId855" xr:uid="{00000000-0004-0000-0200-000056030000}"/>
    <hyperlink ref="F753" r:id="rId856" xr:uid="{00000000-0004-0000-0200-000057030000}"/>
    <hyperlink ref="S754" r:id="rId857" xr:uid="{00000000-0004-0000-0200-000058030000}"/>
    <hyperlink ref="G755" r:id="rId858" xr:uid="{00000000-0004-0000-0200-000059030000}"/>
    <hyperlink ref="F756" r:id="rId859" xr:uid="{00000000-0004-0000-0200-00005A030000}"/>
    <hyperlink ref="G756" r:id="rId860" xr:uid="{00000000-0004-0000-0200-00005B030000}"/>
    <hyperlink ref="S756" r:id="rId861" xr:uid="{00000000-0004-0000-0200-00005C030000}"/>
    <hyperlink ref="F757" r:id="rId862" xr:uid="{00000000-0004-0000-0200-00005D030000}"/>
    <hyperlink ref="S757" r:id="rId863" xr:uid="{00000000-0004-0000-0200-00005E030000}"/>
    <hyperlink ref="G758" r:id="rId864" xr:uid="{00000000-0004-0000-0200-00005F030000}"/>
    <hyperlink ref="S758" r:id="rId865" xr:uid="{00000000-0004-0000-0200-000060030000}"/>
    <hyperlink ref="F760" r:id="rId866" xr:uid="{00000000-0004-0000-0200-000061030000}"/>
    <hyperlink ref="S760" r:id="rId867" xr:uid="{00000000-0004-0000-0200-000062030000}"/>
    <hyperlink ref="F761" r:id="rId868" xr:uid="{00000000-0004-0000-0200-000063030000}"/>
    <hyperlink ref="G761" r:id="rId869" xr:uid="{00000000-0004-0000-0200-000064030000}"/>
    <hyperlink ref="S761" r:id="rId870" xr:uid="{00000000-0004-0000-0200-000065030000}"/>
    <hyperlink ref="G764" r:id="rId871" xr:uid="{00000000-0004-0000-0200-000066030000}"/>
    <hyperlink ref="S764" r:id="rId872" xr:uid="{00000000-0004-0000-0200-000067030000}"/>
    <hyperlink ref="S765" r:id="rId873" xr:uid="{00000000-0004-0000-0200-000068030000}"/>
    <hyperlink ref="G766" r:id="rId874" xr:uid="{00000000-0004-0000-0200-000069030000}"/>
    <hyperlink ref="S766" r:id="rId875" xr:uid="{00000000-0004-0000-0200-00006A030000}"/>
    <hyperlink ref="S768" r:id="rId876" xr:uid="{00000000-0004-0000-0200-00006B030000}"/>
    <hyperlink ref="F769" r:id="rId877" xr:uid="{00000000-0004-0000-0200-00006C030000}"/>
    <hyperlink ref="F770" r:id="rId878" xr:uid="{00000000-0004-0000-0200-00006D030000}"/>
    <hyperlink ref="F771" r:id="rId879" xr:uid="{00000000-0004-0000-0200-00006E030000}"/>
    <hyperlink ref="S771" r:id="rId880" xr:uid="{00000000-0004-0000-0200-00006F030000}"/>
    <hyperlink ref="G774" r:id="rId881" xr:uid="{00000000-0004-0000-0200-000070030000}"/>
    <hyperlink ref="S774" r:id="rId882" xr:uid="{00000000-0004-0000-0200-000071030000}"/>
    <hyperlink ref="F775" r:id="rId883" xr:uid="{00000000-0004-0000-0200-000072030000}"/>
    <hyperlink ref="G775" r:id="rId884" xr:uid="{00000000-0004-0000-0200-000073030000}"/>
    <hyperlink ref="S775" r:id="rId885" xr:uid="{00000000-0004-0000-0200-000074030000}"/>
    <hyperlink ref="G777" r:id="rId886" xr:uid="{00000000-0004-0000-0200-000075030000}"/>
    <hyperlink ref="S778" r:id="rId887" xr:uid="{00000000-0004-0000-0200-000076030000}"/>
    <hyperlink ref="F779" r:id="rId888" xr:uid="{00000000-0004-0000-0200-000077030000}"/>
    <hyperlink ref="S779" r:id="rId889" xr:uid="{00000000-0004-0000-0200-000078030000}"/>
    <hyperlink ref="G780" r:id="rId890" xr:uid="{00000000-0004-0000-0200-000079030000}"/>
    <hyperlink ref="G781" r:id="rId891" xr:uid="{00000000-0004-0000-0200-00007A030000}"/>
    <hyperlink ref="F783" r:id="rId892" xr:uid="{00000000-0004-0000-0200-00007B030000}"/>
    <hyperlink ref="S783" r:id="rId893" xr:uid="{00000000-0004-0000-0200-00007C030000}"/>
    <hyperlink ref="F784" r:id="rId894" xr:uid="{00000000-0004-0000-0200-00007D030000}"/>
    <hyperlink ref="G785" r:id="rId895" xr:uid="{00000000-0004-0000-0200-00007E030000}"/>
    <hyperlink ref="S785" r:id="rId896" xr:uid="{00000000-0004-0000-0200-00007F030000}"/>
    <hyperlink ref="G786" r:id="rId897" xr:uid="{00000000-0004-0000-0200-000080030000}"/>
    <hyperlink ref="S786" r:id="rId898" xr:uid="{00000000-0004-0000-0200-000081030000}"/>
    <hyperlink ref="F787" r:id="rId899" xr:uid="{00000000-0004-0000-0200-000082030000}"/>
    <hyperlink ref="F789" r:id="rId900" xr:uid="{00000000-0004-0000-0200-000083030000}"/>
    <hyperlink ref="F791" r:id="rId901" xr:uid="{00000000-0004-0000-0200-000084030000}"/>
    <hyperlink ref="F792" r:id="rId902" xr:uid="{00000000-0004-0000-0200-000085030000}"/>
    <hyperlink ref="F793" r:id="rId903" xr:uid="{00000000-0004-0000-0200-000086030000}"/>
    <hyperlink ref="F794" r:id="rId904" xr:uid="{00000000-0004-0000-0200-000087030000}"/>
    <hyperlink ref="S794" r:id="rId905" xr:uid="{00000000-0004-0000-0200-000088030000}"/>
    <hyperlink ref="F795" r:id="rId906" xr:uid="{00000000-0004-0000-0200-000089030000}"/>
    <hyperlink ref="F797" r:id="rId907" xr:uid="{00000000-0004-0000-0200-00008A030000}"/>
    <hyperlink ref="C798" r:id="rId908" xr:uid="{00000000-0004-0000-0200-00008B030000}"/>
    <hyperlink ref="G798" r:id="rId909" xr:uid="{00000000-0004-0000-0200-00008C030000}"/>
    <hyperlink ref="S801" r:id="rId910" xr:uid="{00000000-0004-0000-0200-00008D030000}"/>
    <hyperlink ref="S802" r:id="rId911" xr:uid="{00000000-0004-0000-0200-00008E030000}"/>
    <hyperlink ref="G803" r:id="rId912" xr:uid="{00000000-0004-0000-0200-00008F030000}"/>
    <hyperlink ref="F805" r:id="rId913" xr:uid="{00000000-0004-0000-0200-000090030000}"/>
    <hyperlink ref="F806" r:id="rId914" xr:uid="{00000000-0004-0000-0200-000091030000}"/>
    <hyperlink ref="S806" r:id="rId915" xr:uid="{00000000-0004-0000-0200-000092030000}"/>
    <hyperlink ref="S807" r:id="rId916" xr:uid="{00000000-0004-0000-0200-000093030000}"/>
    <hyperlink ref="S808" r:id="rId917" xr:uid="{00000000-0004-0000-0200-000094030000}"/>
    <hyperlink ref="F809" r:id="rId918" xr:uid="{00000000-0004-0000-0200-000095030000}"/>
    <hyperlink ref="G809" r:id="rId919" xr:uid="{00000000-0004-0000-0200-000096030000}"/>
    <hyperlink ref="G810" r:id="rId920" xr:uid="{00000000-0004-0000-0200-000097030000}"/>
    <hyperlink ref="S812" r:id="rId921" xr:uid="{00000000-0004-0000-0200-000098030000}"/>
    <hyperlink ref="F813" r:id="rId922" xr:uid="{00000000-0004-0000-0200-000099030000}"/>
    <hyperlink ref="G813" r:id="rId923" xr:uid="{00000000-0004-0000-0200-00009A030000}"/>
    <hyperlink ref="F814" r:id="rId924" xr:uid="{00000000-0004-0000-0200-00009B030000}"/>
    <hyperlink ref="G814" r:id="rId925" xr:uid="{00000000-0004-0000-0200-00009C030000}"/>
    <hyperlink ref="F815" r:id="rId926" xr:uid="{00000000-0004-0000-0200-00009D030000}"/>
    <hyperlink ref="F816" r:id="rId927" xr:uid="{00000000-0004-0000-0200-00009E030000}"/>
    <hyperlink ref="S816" r:id="rId928" xr:uid="{00000000-0004-0000-0200-00009F030000}"/>
    <hyperlink ref="F820" r:id="rId929" xr:uid="{00000000-0004-0000-0200-0000A0030000}"/>
    <hyperlink ref="S820" r:id="rId930" xr:uid="{00000000-0004-0000-0200-0000A1030000}"/>
    <hyperlink ref="F821" r:id="rId931" xr:uid="{00000000-0004-0000-0200-0000A2030000}"/>
    <hyperlink ref="S822" r:id="rId932" xr:uid="{00000000-0004-0000-0200-0000A3030000}"/>
    <hyperlink ref="F823" r:id="rId933" xr:uid="{00000000-0004-0000-0200-0000A4030000}"/>
    <hyperlink ref="F824" r:id="rId934" xr:uid="{00000000-0004-0000-0200-0000A5030000}"/>
    <hyperlink ref="F825" r:id="rId935" xr:uid="{00000000-0004-0000-0200-0000A6030000}"/>
    <hyperlink ref="F826" r:id="rId936" xr:uid="{00000000-0004-0000-0200-0000A7030000}"/>
    <hyperlink ref="G826" r:id="rId937" xr:uid="{00000000-0004-0000-0200-0000A8030000}"/>
    <hyperlink ref="G827" r:id="rId938" xr:uid="{00000000-0004-0000-0200-0000A9030000}"/>
    <hyperlink ref="G828" r:id="rId939" xr:uid="{00000000-0004-0000-0200-0000AA030000}"/>
    <hyperlink ref="F830" r:id="rId940" xr:uid="{00000000-0004-0000-0200-0000AB030000}"/>
    <hyperlink ref="F831" r:id="rId941" xr:uid="{00000000-0004-0000-0200-0000AC030000}"/>
    <hyperlink ref="F832" r:id="rId942" xr:uid="{00000000-0004-0000-0200-0000AD030000}"/>
    <hyperlink ref="F834" r:id="rId943" xr:uid="{00000000-0004-0000-0200-0000AE030000}"/>
    <hyperlink ref="S834" r:id="rId944" xr:uid="{00000000-0004-0000-0200-0000AF030000}"/>
    <hyperlink ref="F835" r:id="rId945" xr:uid="{00000000-0004-0000-0200-0000B0030000}"/>
    <hyperlink ref="S836" r:id="rId946" xr:uid="{00000000-0004-0000-0200-0000B1030000}"/>
    <hyperlink ref="F838" r:id="rId947" xr:uid="{00000000-0004-0000-0200-0000B2030000}"/>
    <hyperlink ref="G838" r:id="rId948" xr:uid="{00000000-0004-0000-0200-0000B3030000}"/>
    <hyperlink ref="S839" r:id="rId949" xr:uid="{00000000-0004-0000-0200-0000B4030000}"/>
    <hyperlink ref="S840" r:id="rId950" xr:uid="{00000000-0004-0000-0200-0000B5030000}"/>
    <hyperlink ref="S843" r:id="rId951" xr:uid="{00000000-0004-0000-0200-0000B6030000}"/>
    <hyperlink ref="F845" r:id="rId952" xr:uid="{00000000-0004-0000-0200-0000B7030000}"/>
    <hyperlink ref="G845" r:id="rId953" xr:uid="{00000000-0004-0000-0200-0000B8030000}"/>
    <hyperlink ref="S845" r:id="rId954" xr:uid="{00000000-0004-0000-0200-0000B9030000}"/>
    <hyperlink ref="F847" r:id="rId955" xr:uid="{00000000-0004-0000-0200-0000BA030000}"/>
    <hyperlink ref="S847" r:id="rId956" xr:uid="{00000000-0004-0000-0200-0000BB030000}"/>
    <hyperlink ref="F848" r:id="rId957" xr:uid="{00000000-0004-0000-0200-0000BC030000}"/>
    <hyperlink ref="S848" r:id="rId958" xr:uid="{00000000-0004-0000-0200-0000BD030000}"/>
    <hyperlink ref="F849" r:id="rId959" xr:uid="{00000000-0004-0000-0200-0000BE030000}"/>
    <hyperlink ref="S850" r:id="rId960" xr:uid="{00000000-0004-0000-0200-0000BF030000}"/>
    <hyperlink ref="F851" r:id="rId961" xr:uid="{00000000-0004-0000-0200-0000C0030000}"/>
    <hyperlink ref="G852" r:id="rId962" xr:uid="{00000000-0004-0000-0200-0000C1030000}"/>
    <hyperlink ref="G853" r:id="rId963" xr:uid="{00000000-0004-0000-0200-0000C2030000}"/>
    <hyperlink ref="G854" r:id="rId964" xr:uid="{00000000-0004-0000-0200-0000C3030000}"/>
    <hyperlink ref="S854" r:id="rId965" xr:uid="{00000000-0004-0000-0200-0000C4030000}"/>
    <hyperlink ref="F855" r:id="rId966" xr:uid="{00000000-0004-0000-0200-0000C5030000}"/>
    <hyperlink ref="S856" r:id="rId967" xr:uid="{00000000-0004-0000-0200-0000C6030000}"/>
    <hyperlink ref="F859" r:id="rId968" xr:uid="{00000000-0004-0000-0200-0000C7030000}"/>
    <hyperlink ref="G860" r:id="rId969" xr:uid="{00000000-0004-0000-0200-0000C8030000}"/>
    <hyperlink ref="G861" r:id="rId970" xr:uid="{00000000-0004-0000-0200-0000C9030000}"/>
    <hyperlink ref="F862" r:id="rId971" xr:uid="{00000000-0004-0000-0200-0000CA030000}"/>
    <hyperlink ref="F863" r:id="rId972" xr:uid="{00000000-0004-0000-0200-0000CB030000}"/>
    <hyperlink ref="S863" r:id="rId973" xr:uid="{00000000-0004-0000-0200-0000CC030000}"/>
    <hyperlink ref="F864" r:id="rId974" xr:uid="{00000000-0004-0000-0200-0000CD030000}"/>
    <hyperlink ref="G864" r:id="rId975" xr:uid="{00000000-0004-0000-0200-0000CE030000}"/>
    <hyperlink ref="G865" r:id="rId976" xr:uid="{00000000-0004-0000-0200-0000CF030000}"/>
    <hyperlink ref="S865" r:id="rId977" xr:uid="{00000000-0004-0000-0200-0000D0030000}"/>
    <hyperlink ref="F867" r:id="rId978" xr:uid="{00000000-0004-0000-0200-0000D1030000}"/>
    <hyperlink ref="G867" r:id="rId979" xr:uid="{00000000-0004-0000-0200-0000D2030000}"/>
    <hyperlink ref="S867" r:id="rId980" xr:uid="{00000000-0004-0000-0200-0000D3030000}"/>
    <hyperlink ref="G868" r:id="rId981" xr:uid="{00000000-0004-0000-0200-0000D4030000}"/>
    <hyperlink ref="F870" r:id="rId982" xr:uid="{00000000-0004-0000-0200-0000D5030000}"/>
    <hyperlink ref="G871" r:id="rId983" xr:uid="{00000000-0004-0000-0200-0000D6030000}"/>
    <hyperlink ref="F877" r:id="rId984" xr:uid="{00000000-0004-0000-0200-0000D7030000}"/>
    <hyperlink ref="S877" r:id="rId985" xr:uid="{00000000-0004-0000-0200-0000D8030000}"/>
    <hyperlink ref="F878" r:id="rId986" xr:uid="{00000000-0004-0000-0200-0000D9030000}"/>
    <hyperlink ref="S878" r:id="rId987" xr:uid="{00000000-0004-0000-0200-0000DA030000}"/>
    <hyperlink ref="F883" r:id="rId988" xr:uid="{00000000-0004-0000-0200-0000DB030000}"/>
    <hyperlink ref="G883" r:id="rId989" xr:uid="{00000000-0004-0000-0200-0000DC030000}"/>
    <hyperlink ref="F884" r:id="rId990" xr:uid="{00000000-0004-0000-0200-0000DD030000}"/>
    <hyperlink ref="S884" r:id="rId991" xr:uid="{00000000-0004-0000-0200-0000DE030000}"/>
    <hyperlink ref="F887" r:id="rId992" xr:uid="{00000000-0004-0000-0200-0000DF030000}"/>
    <hyperlink ref="S887" r:id="rId993" xr:uid="{00000000-0004-0000-0200-0000E0030000}"/>
    <hyperlink ref="G888" r:id="rId994" xr:uid="{00000000-0004-0000-0200-0000E1030000}"/>
    <hyperlink ref="S889" r:id="rId995" xr:uid="{00000000-0004-0000-0200-0000E2030000}"/>
    <hyperlink ref="G891" r:id="rId996" xr:uid="{00000000-0004-0000-0200-0000E3030000}"/>
    <hyperlink ref="S891" r:id="rId997" xr:uid="{00000000-0004-0000-0200-0000E4030000}"/>
    <hyperlink ref="F893" r:id="rId998" xr:uid="{00000000-0004-0000-0200-0000E5030000}"/>
    <hyperlink ref="S893" r:id="rId999" xr:uid="{00000000-0004-0000-0200-0000E6030000}"/>
    <hyperlink ref="F894" r:id="rId1000" xr:uid="{00000000-0004-0000-0200-0000E7030000}"/>
    <hyperlink ref="G894" r:id="rId1001" xr:uid="{00000000-0004-0000-0200-0000E8030000}"/>
    <hyperlink ref="F897" r:id="rId1002" xr:uid="{00000000-0004-0000-0200-0000E9030000}"/>
    <hyperlink ref="G897" r:id="rId1003" xr:uid="{00000000-0004-0000-0200-0000EA030000}"/>
    <hyperlink ref="S897" r:id="rId1004" xr:uid="{00000000-0004-0000-0200-0000EB030000}"/>
    <hyperlink ref="F899" r:id="rId1005" xr:uid="{00000000-0004-0000-0200-0000EC030000}"/>
    <hyperlink ref="G899" r:id="rId1006" xr:uid="{00000000-0004-0000-0200-0000ED030000}"/>
    <hyperlink ref="S899" r:id="rId1007" xr:uid="{00000000-0004-0000-0200-0000EE030000}"/>
    <hyperlink ref="F900" r:id="rId1008" xr:uid="{00000000-0004-0000-0200-0000EF030000}"/>
    <hyperlink ref="F903" r:id="rId1009" xr:uid="{00000000-0004-0000-0200-0000F0030000}"/>
    <hyperlink ref="S903" r:id="rId1010" xr:uid="{00000000-0004-0000-0200-0000F1030000}"/>
    <hyperlink ref="F904" r:id="rId1011" xr:uid="{00000000-0004-0000-0200-0000F2030000}"/>
    <hyperlink ref="G906" r:id="rId1012" xr:uid="{00000000-0004-0000-0200-0000F3030000}"/>
    <hyperlink ref="S906" r:id="rId1013" xr:uid="{00000000-0004-0000-0200-0000F4030000}"/>
    <hyperlink ref="G907" r:id="rId1014" xr:uid="{00000000-0004-0000-0200-0000F5030000}"/>
    <hyperlink ref="S907" r:id="rId1015" xr:uid="{00000000-0004-0000-0200-0000F6030000}"/>
    <hyperlink ref="G908" r:id="rId1016" xr:uid="{00000000-0004-0000-0200-0000F7030000}"/>
    <hyperlink ref="S908" r:id="rId1017" xr:uid="{00000000-0004-0000-0200-0000F8030000}"/>
    <hyperlink ref="S909" r:id="rId1018" xr:uid="{00000000-0004-0000-0200-0000F9030000}"/>
    <hyperlink ref="F910" r:id="rId1019" xr:uid="{00000000-0004-0000-0200-0000FA030000}"/>
    <hyperlink ref="F913" r:id="rId1020" xr:uid="{00000000-0004-0000-0200-0000FB030000}"/>
    <hyperlink ref="F915" r:id="rId1021" xr:uid="{00000000-0004-0000-0200-0000FC030000}"/>
    <hyperlink ref="F916" r:id="rId1022" xr:uid="{00000000-0004-0000-0200-0000FD030000}"/>
    <hyperlink ref="G916" r:id="rId1023" xr:uid="{00000000-0004-0000-0200-0000FE030000}"/>
    <hyperlink ref="S916" r:id="rId1024" xr:uid="{00000000-0004-0000-0200-0000FF030000}"/>
    <hyperlink ref="G917" r:id="rId1025" xr:uid="{00000000-0004-0000-0200-000000040000}"/>
    <hyperlink ref="F918" r:id="rId1026" xr:uid="{00000000-0004-0000-0200-000001040000}"/>
    <hyperlink ref="G918" r:id="rId1027" xr:uid="{00000000-0004-0000-0200-000002040000}"/>
    <hyperlink ref="G919" r:id="rId1028" xr:uid="{00000000-0004-0000-0200-000003040000}"/>
    <hyperlink ref="S919" r:id="rId1029" xr:uid="{00000000-0004-0000-0200-000004040000}"/>
    <hyperlink ref="F920" r:id="rId1030" xr:uid="{00000000-0004-0000-0200-000005040000}"/>
    <hyperlink ref="G921" r:id="rId1031" xr:uid="{00000000-0004-0000-0200-000006040000}"/>
    <hyperlink ref="S921" r:id="rId1032" xr:uid="{00000000-0004-0000-0200-000007040000}"/>
    <hyperlink ref="G922" r:id="rId1033" xr:uid="{00000000-0004-0000-0200-000008040000}"/>
    <hyperlink ref="F925" r:id="rId1034" xr:uid="{00000000-0004-0000-0200-000009040000}"/>
    <hyperlink ref="F926" r:id="rId1035" xr:uid="{00000000-0004-0000-0200-00000A040000}"/>
    <hyperlink ref="G926" r:id="rId1036" xr:uid="{00000000-0004-0000-0200-00000B040000}"/>
    <hyperlink ref="S927" r:id="rId1037" xr:uid="{00000000-0004-0000-0200-00000C040000}"/>
    <hyperlink ref="G928" r:id="rId1038" xr:uid="{00000000-0004-0000-0200-00000D040000}"/>
    <hyperlink ref="S928" r:id="rId1039" xr:uid="{00000000-0004-0000-0200-00000E040000}"/>
    <hyperlink ref="F929" r:id="rId1040" xr:uid="{00000000-0004-0000-0200-00000F040000}"/>
    <hyperlink ref="S931" r:id="rId1041" xr:uid="{00000000-0004-0000-0200-000010040000}"/>
    <hyperlink ref="F932" r:id="rId1042" xr:uid="{00000000-0004-0000-0200-000011040000}"/>
    <hyperlink ref="G932" r:id="rId1043" xr:uid="{00000000-0004-0000-0200-000012040000}"/>
    <hyperlink ref="F934" r:id="rId1044" xr:uid="{00000000-0004-0000-0200-000013040000}"/>
    <hyperlink ref="F936" r:id="rId1045" xr:uid="{00000000-0004-0000-0200-000014040000}"/>
    <hyperlink ref="S936" r:id="rId1046" xr:uid="{00000000-0004-0000-0200-000015040000}"/>
    <hyperlink ref="F940" r:id="rId1047" xr:uid="{00000000-0004-0000-0200-000016040000}"/>
    <hyperlink ref="F942" r:id="rId1048" xr:uid="{00000000-0004-0000-0200-000017040000}"/>
    <hyperlink ref="F943" r:id="rId1049" xr:uid="{00000000-0004-0000-0200-000018040000}"/>
    <hyperlink ref="S943" r:id="rId1050" xr:uid="{00000000-0004-0000-0200-000019040000}"/>
    <hyperlink ref="G945" r:id="rId1051" xr:uid="{00000000-0004-0000-0200-00001A040000}"/>
    <hyperlink ref="S945" r:id="rId1052" xr:uid="{00000000-0004-0000-0200-00001B040000}"/>
    <hyperlink ref="F948" r:id="rId1053" xr:uid="{00000000-0004-0000-0200-00001C040000}"/>
    <hyperlink ref="S949" r:id="rId1054" xr:uid="{00000000-0004-0000-0200-00001D040000}"/>
    <hyperlink ref="F951" r:id="rId1055" xr:uid="{00000000-0004-0000-0200-00001E040000}"/>
    <hyperlink ref="F952" r:id="rId1056" xr:uid="{00000000-0004-0000-0200-00001F040000}"/>
    <hyperlink ref="F953" r:id="rId1057" xr:uid="{00000000-0004-0000-0200-000020040000}"/>
    <hyperlink ref="G953" r:id="rId1058" xr:uid="{00000000-0004-0000-0200-000021040000}"/>
    <hyperlink ref="S953" r:id="rId1059" xr:uid="{00000000-0004-0000-0200-000022040000}"/>
    <hyperlink ref="F954" r:id="rId1060" xr:uid="{00000000-0004-0000-0200-000023040000}"/>
    <hyperlink ref="F955" r:id="rId1061" xr:uid="{00000000-0004-0000-0200-000024040000}"/>
    <hyperlink ref="S955" r:id="rId1062" xr:uid="{00000000-0004-0000-0200-000025040000}"/>
    <hyperlink ref="F956" r:id="rId1063" xr:uid="{00000000-0004-0000-0200-000026040000}"/>
    <hyperlink ref="F957" r:id="rId1064" xr:uid="{00000000-0004-0000-0200-000027040000}"/>
    <hyperlink ref="G957" r:id="rId1065" xr:uid="{00000000-0004-0000-0200-000028040000}"/>
    <hyperlink ref="S957" r:id="rId1066" xr:uid="{00000000-0004-0000-0200-000029040000}"/>
    <hyperlink ref="F961" r:id="rId1067" xr:uid="{00000000-0004-0000-0200-00002A040000}"/>
    <hyperlink ref="S963" r:id="rId1068" xr:uid="{00000000-0004-0000-0200-00002B040000}"/>
    <hyperlink ref="F964" r:id="rId1069" xr:uid="{00000000-0004-0000-0200-00002C040000}"/>
    <hyperlink ref="G965" r:id="rId1070" xr:uid="{00000000-0004-0000-0200-00002D040000}"/>
    <hyperlink ref="G966" r:id="rId1071" xr:uid="{00000000-0004-0000-0200-00002E040000}"/>
    <hyperlink ref="S967" r:id="rId1072" xr:uid="{00000000-0004-0000-0200-00002F040000}"/>
    <hyperlink ref="S968" r:id="rId1073" xr:uid="{00000000-0004-0000-0200-000030040000}"/>
    <hyperlink ref="F971" r:id="rId1074" xr:uid="{00000000-0004-0000-0200-000031040000}"/>
    <hyperlink ref="G972" r:id="rId1075" xr:uid="{00000000-0004-0000-0200-000032040000}"/>
    <hyperlink ref="S972" r:id="rId1076" xr:uid="{00000000-0004-0000-0200-000033040000}"/>
    <hyperlink ref="F973" r:id="rId1077" xr:uid="{00000000-0004-0000-0200-000034040000}"/>
    <hyperlink ref="S973" r:id="rId1078" xr:uid="{00000000-0004-0000-0200-000035040000}"/>
    <hyperlink ref="F974" r:id="rId1079" xr:uid="{00000000-0004-0000-0200-000036040000}"/>
    <hyperlink ref="G975" r:id="rId1080" xr:uid="{00000000-0004-0000-0200-000037040000}"/>
    <hyperlink ref="S975" r:id="rId1081" xr:uid="{00000000-0004-0000-0200-000038040000}"/>
    <hyperlink ref="G976" r:id="rId1082" xr:uid="{00000000-0004-0000-0200-000039040000}"/>
    <hyperlink ref="F979" r:id="rId1083" xr:uid="{00000000-0004-0000-0200-00003A040000}"/>
    <hyperlink ref="S979" r:id="rId1084" xr:uid="{00000000-0004-0000-0200-00003B040000}"/>
    <hyperlink ref="F980" r:id="rId1085" xr:uid="{00000000-0004-0000-0200-00003C040000}"/>
    <hyperlink ref="S980" r:id="rId1086" xr:uid="{00000000-0004-0000-0200-00003D040000}"/>
    <hyperlink ref="G981" r:id="rId1087" xr:uid="{00000000-0004-0000-0200-00003E040000}"/>
    <hyperlink ref="S981" r:id="rId1088" xr:uid="{00000000-0004-0000-0200-00003F040000}"/>
    <hyperlink ref="F982" r:id="rId1089" xr:uid="{00000000-0004-0000-0200-000040040000}"/>
    <hyperlink ref="C984" r:id="rId1090" xr:uid="{00000000-0004-0000-0200-000041040000}"/>
    <hyperlink ref="F984" r:id="rId1091" xr:uid="{00000000-0004-0000-0200-000042040000}"/>
    <hyperlink ref="G984" r:id="rId1092" xr:uid="{00000000-0004-0000-0200-000043040000}"/>
    <hyperlink ref="S984" r:id="rId1093" xr:uid="{00000000-0004-0000-0200-000044040000}"/>
    <hyperlink ref="F985" r:id="rId1094" xr:uid="{00000000-0004-0000-0200-000045040000}"/>
    <hyperlink ref="G986" r:id="rId1095" xr:uid="{00000000-0004-0000-0200-000046040000}"/>
    <hyperlink ref="S987" r:id="rId1096" xr:uid="{00000000-0004-0000-0200-000047040000}"/>
    <hyperlink ref="F988" r:id="rId1097" xr:uid="{00000000-0004-0000-0200-000048040000}"/>
    <hyperlink ref="G988" r:id="rId1098" xr:uid="{00000000-0004-0000-0200-000049040000}"/>
    <hyperlink ref="F989" r:id="rId1099" xr:uid="{00000000-0004-0000-0200-00004A040000}"/>
    <hyperlink ref="S990" r:id="rId1100" xr:uid="{00000000-0004-0000-0200-00004B040000}"/>
    <hyperlink ref="G991" r:id="rId1101" xr:uid="{00000000-0004-0000-0200-00004C040000}"/>
    <hyperlink ref="S991" r:id="rId1102" xr:uid="{00000000-0004-0000-0200-00004D040000}"/>
    <hyperlink ref="F992" r:id="rId1103" xr:uid="{00000000-0004-0000-0200-00004E040000}"/>
    <hyperlink ref="F993" r:id="rId1104" xr:uid="{00000000-0004-0000-0200-00004F040000}"/>
    <hyperlink ref="F994" r:id="rId1105" xr:uid="{00000000-0004-0000-0200-000050040000}"/>
    <hyperlink ref="F995" r:id="rId1106" xr:uid="{00000000-0004-0000-0200-000051040000}"/>
    <hyperlink ref="G995" r:id="rId1107" xr:uid="{00000000-0004-0000-0200-000052040000}"/>
    <hyperlink ref="S995" r:id="rId1108" xr:uid="{00000000-0004-0000-0200-000053040000}"/>
    <hyperlink ref="F998" r:id="rId1109" xr:uid="{00000000-0004-0000-0200-000054040000}"/>
    <hyperlink ref="S998" r:id="rId1110" xr:uid="{00000000-0004-0000-0200-000055040000}"/>
    <hyperlink ref="F999" r:id="rId1111" xr:uid="{00000000-0004-0000-0200-000056040000}"/>
    <hyperlink ref="F1003" r:id="rId1112" xr:uid="{00000000-0004-0000-0200-000057040000}"/>
    <hyperlink ref="F1004" r:id="rId1113" xr:uid="{00000000-0004-0000-0200-000058040000}"/>
    <hyperlink ref="G1005" r:id="rId1114" xr:uid="{00000000-0004-0000-0200-000059040000}"/>
    <hyperlink ref="S1005" r:id="rId1115" xr:uid="{00000000-0004-0000-0200-00005A040000}"/>
    <hyperlink ref="F1006" r:id="rId1116" xr:uid="{00000000-0004-0000-0200-00005B040000}"/>
    <hyperlink ref="S1006" r:id="rId1117" xr:uid="{00000000-0004-0000-0200-00005C040000}"/>
    <hyperlink ref="G1007" r:id="rId1118" xr:uid="{00000000-0004-0000-0200-00005D040000}"/>
    <hyperlink ref="F1009" r:id="rId1119" xr:uid="{00000000-0004-0000-0200-00005E040000}"/>
    <hyperlink ref="G1009" r:id="rId1120" xr:uid="{00000000-0004-0000-0200-00005F040000}"/>
    <hyperlink ref="F1010" r:id="rId1121" xr:uid="{00000000-0004-0000-0200-000060040000}"/>
    <hyperlink ref="S1010" r:id="rId1122" xr:uid="{00000000-0004-0000-0200-000061040000}"/>
    <hyperlink ref="S1011" r:id="rId1123" xr:uid="{00000000-0004-0000-0200-000062040000}"/>
    <hyperlink ref="F1012" r:id="rId1124" xr:uid="{00000000-0004-0000-0200-000063040000}"/>
    <hyperlink ref="G1012" r:id="rId1125" xr:uid="{00000000-0004-0000-0200-000064040000}"/>
    <hyperlink ref="S1012" r:id="rId1126" xr:uid="{00000000-0004-0000-0200-000065040000}"/>
    <hyperlink ref="F1013" r:id="rId1127" xr:uid="{00000000-0004-0000-0200-000066040000}"/>
    <hyperlink ref="S1013" r:id="rId1128" xr:uid="{00000000-0004-0000-0200-000067040000}"/>
    <hyperlink ref="F1014" r:id="rId1129" xr:uid="{00000000-0004-0000-0200-000068040000}"/>
    <hyperlink ref="S1014" r:id="rId1130" xr:uid="{00000000-0004-0000-0200-000069040000}"/>
    <hyperlink ref="F1015" r:id="rId1131" xr:uid="{00000000-0004-0000-0200-00006A040000}"/>
    <hyperlink ref="S1015" r:id="rId1132" xr:uid="{00000000-0004-0000-0200-00006B040000}"/>
    <hyperlink ref="G1017" r:id="rId1133" xr:uid="{00000000-0004-0000-0200-00006C040000}"/>
    <hyperlink ref="F1018" r:id="rId1134" xr:uid="{00000000-0004-0000-0200-00006D040000}"/>
    <hyperlink ref="G1018" r:id="rId1135" xr:uid="{00000000-0004-0000-0200-00006E040000}"/>
    <hyperlink ref="S1018" r:id="rId1136" xr:uid="{00000000-0004-0000-0200-00006F040000}"/>
    <hyperlink ref="F1019" r:id="rId1137" xr:uid="{00000000-0004-0000-0200-000070040000}"/>
    <hyperlink ref="S1019" r:id="rId1138" xr:uid="{00000000-0004-0000-0200-000071040000}"/>
    <hyperlink ref="F1020" r:id="rId1139" xr:uid="{00000000-0004-0000-0200-000072040000}"/>
    <hyperlink ref="F1021" r:id="rId1140" xr:uid="{00000000-0004-0000-0200-000073040000}"/>
    <hyperlink ref="F1022" r:id="rId1141" xr:uid="{00000000-0004-0000-0200-000074040000}"/>
    <hyperlink ref="S1023" r:id="rId1142" xr:uid="{00000000-0004-0000-0200-000075040000}"/>
    <hyperlink ref="F1024" r:id="rId1143" xr:uid="{00000000-0004-0000-0200-000076040000}"/>
    <hyperlink ref="G1024" r:id="rId1144" xr:uid="{00000000-0004-0000-0200-000077040000}"/>
    <hyperlink ref="S1024" r:id="rId1145" xr:uid="{00000000-0004-0000-0200-000078040000}"/>
    <hyperlink ref="F1026" r:id="rId1146" xr:uid="{00000000-0004-0000-0200-000079040000}"/>
    <hyperlink ref="G1026" r:id="rId1147" xr:uid="{00000000-0004-0000-0200-00007A040000}"/>
    <hyperlink ref="S1026" r:id="rId1148" xr:uid="{00000000-0004-0000-0200-00007B040000}"/>
    <hyperlink ref="G1029" r:id="rId1149" xr:uid="{00000000-0004-0000-0200-00007C040000}"/>
    <hyperlink ref="G1030" r:id="rId1150" xr:uid="{00000000-0004-0000-0200-00007D040000}"/>
    <hyperlink ref="F1031" r:id="rId1151" xr:uid="{00000000-0004-0000-0200-00007E040000}"/>
    <hyperlink ref="G1031" r:id="rId1152" xr:uid="{00000000-0004-0000-0200-00007F040000}"/>
    <hyperlink ref="S1031" r:id="rId1153" xr:uid="{00000000-0004-0000-0200-000080040000}"/>
    <hyperlink ref="S1033" r:id="rId1154" xr:uid="{00000000-0004-0000-0200-000081040000}"/>
    <hyperlink ref="G1037" r:id="rId1155" xr:uid="{00000000-0004-0000-0200-000082040000}"/>
    <hyperlink ref="S1037" r:id="rId1156" xr:uid="{00000000-0004-0000-0200-000083040000}"/>
    <hyperlink ref="F1038" r:id="rId1157" xr:uid="{00000000-0004-0000-0200-000084040000}"/>
    <hyperlink ref="S1038" r:id="rId1158" xr:uid="{00000000-0004-0000-0200-000085040000}"/>
    <hyperlink ref="F1039" r:id="rId1159" xr:uid="{00000000-0004-0000-0200-000086040000}"/>
    <hyperlink ref="S1039" r:id="rId1160" xr:uid="{00000000-0004-0000-0200-000087040000}"/>
    <hyperlink ref="G1040" r:id="rId1161" xr:uid="{00000000-0004-0000-0200-000088040000}"/>
    <hyperlink ref="F1041" r:id="rId1162" xr:uid="{00000000-0004-0000-0200-000089040000}"/>
    <hyperlink ref="S1043" r:id="rId1163" xr:uid="{00000000-0004-0000-0200-00008A040000}"/>
    <hyperlink ref="F1048" r:id="rId1164" xr:uid="{00000000-0004-0000-0200-00008B040000}"/>
    <hyperlink ref="S1048" r:id="rId1165" xr:uid="{00000000-0004-0000-0200-00008C040000}"/>
    <hyperlink ref="G1049" r:id="rId1166" xr:uid="{00000000-0004-0000-0200-00008D040000}"/>
    <hyperlink ref="F1050" r:id="rId1167" xr:uid="{00000000-0004-0000-0200-00008E040000}"/>
    <hyperlink ref="G1050" r:id="rId1168" xr:uid="{00000000-0004-0000-0200-00008F040000}"/>
    <hyperlink ref="F1051" r:id="rId1169" xr:uid="{00000000-0004-0000-0200-000090040000}"/>
    <hyperlink ref="S1051" r:id="rId1170" xr:uid="{00000000-0004-0000-0200-000091040000}"/>
    <hyperlink ref="G1052" r:id="rId1171" xr:uid="{00000000-0004-0000-0200-000092040000}"/>
    <hyperlink ref="G1056" r:id="rId1172" xr:uid="{00000000-0004-0000-0200-000093040000}"/>
    <hyperlink ref="S1056" r:id="rId1173" xr:uid="{00000000-0004-0000-0200-000094040000}"/>
    <hyperlink ref="S1057" r:id="rId1174" xr:uid="{00000000-0004-0000-0200-000095040000}"/>
    <hyperlink ref="S1059" r:id="rId1175" xr:uid="{00000000-0004-0000-0200-000096040000}"/>
    <hyperlink ref="S1061" r:id="rId1176" xr:uid="{00000000-0004-0000-0200-000097040000}"/>
    <hyperlink ref="S1062" r:id="rId1177" xr:uid="{00000000-0004-0000-0200-000098040000}"/>
    <hyperlink ref="G1063" r:id="rId1178" xr:uid="{00000000-0004-0000-0200-000099040000}"/>
    <hyperlink ref="G1064" r:id="rId1179" xr:uid="{00000000-0004-0000-0200-00009A040000}"/>
    <hyperlink ref="S1064" r:id="rId1180" xr:uid="{00000000-0004-0000-0200-00009B040000}"/>
    <hyperlink ref="F1068" r:id="rId1181" xr:uid="{00000000-0004-0000-0200-00009C040000}"/>
    <hyperlink ref="G1069" r:id="rId1182" xr:uid="{00000000-0004-0000-0200-00009D040000}"/>
    <hyperlink ref="F1070" r:id="rId1183" location="click=https://t.co/0lb9EiEGHQ" xr:uid="{00000000-0004-0000-0200-00009E040000}"/>
    <hyperlink ref="S1070" r:id="rId1184" xr:uid="{00000000-0004-0000-0200-00009F040000}"/>
    <hyperlink ref="F1071" r:id="rId1185" xr:uid="{00000000-0004-0000-0200-0000A0040000}"/>
    <hyperlink ref="F1072" r:id="rId1186" xr:uid="{00000000-0004-0000-0200-0000A1040000}"/>
    <hyperlink ref="S1072" r:id="rId1187" xr:uid="{00000000-0004-0000-0200-0000A2040000}"/>
    <hyperlink ref="S1073" r:id="rId1188" xr:uid="{00000000-0004-0000-0200-0000A3040000}"/>
    <hyperlink ref="F1074" r:id="rId1189" xr:uid="{00000000-0004-0000-0200-0000A4040000}"/>
    <hyperlink ref="G1074" r:id="rId1190" xr:uid="{00000000-0004-0000-0200-0000A5040000}"/>
    <hyperlink ref="S1076" r:id="rId1191" xr:uid="{00000000-0004-0000-0200-0000A6040000}"/>
    <hyperlink ref="F1077" r:id="rId1192" xr:uid="{00000000-0004-0000-0200-0000A7040000}"/>
    <hyperlink ref="F1079" r:id="rId1193" xr:uid="{00000000-0004-0000-0200-0000A8040000}"/>
    <hyperlink ref="S1079" r:id="rId1194" xr:uid="{00000000-0004-0000-0200-0000A9040000}"/>
    <hyperlink ref="G1080" r:id="rId1195" xr:uid="{00000000-0004-0000-0200-0000AA040000}"/>
    <hyperlink ref="F1081" r:id="rId1196" xr:uid="{00000000-0004-0000-0200-0000AB040000}"/>
    <hyperlink ref="S1081" r:id="rId1197" xr:uid="{00000000-0004-0000-0200-0000AC040000}"/>
    <hyperlink ref="F1082" r:id="rId1198" xr:uid="{00000000-0004-0000-0200-0000AD040000}"/>
    <hyperlink ref="S1082" r:id="rId1199" xr:uid="{00000000-0004-0000-0200-0000AE040000}"/>
    <hyperlink ref="F1085" r:id="rId1200" xr:uid="{00000000-0004-0000-0200-0000AF040000}"/>
    <hyperlink ref="S1085" r:id="rId1201" xr:uid="{00000000-0004-0000-0200-0000B0040000}"/>
    <hyperlink ref="S1086" r:id="rId1202" xr:uid="{00000000-0004-0000-0200-0000B1040000}"/>
    <hyperlink ref="G1087" r:id="rId1203" xr:uid="{00000000-0004-0000-0200-0000B2040000}"/>
    <hyperlink ref="S1087" r:id="rId1204" xr:uid="{00000000-0004-0000-0200-0000B3040000}"/>
    <hyperlink ref="S1090" r:id="rId1205" xr:uid="{00000000-0004-0000-0200-0000B4040000}"/>
    <hyperlink ref="F1091" r:id="rId1206" xr:uid="{00000000-0004-0000-0200-0000B5040000}"/>
    <hyperlink ref="G1091" r:id="rId1207" xr:uid="{00000000-0004-0000-0200-0000B6040000}"/>
    <hyperlink ref="F1092" r:id="rId1208" xr:uid="{00000000-0004-0000-0200-0000B7040000}"/>
    <hyperlink ref="S1092" r:id="rId1209" xr:uid="{00000000-0004-0000-0200-0000B8040000}"/>
    <hyperlink ref="F1095" r:id="rId1210" xr:uid="{00000000-0004-0000-0200-0000B9040000}"/>
    <hyperlink ref="G1095" r:id="rId1211" xr:uid="{00000000-0004-0000-0200-0000BA040000}"/>
    <hyperlink ref="F1097" r:id="rId1212" xr:uid="{00000000-0004-0000-0200-0000BB040000}"/>
    <hyperlink ref="S1097" r:id="rId1213" xr:uid="{00000000-0004-0000-0200-0000BC040000}"/>
    <hyperlink ref="S1098" r:id="rId1214" xr:uid="{00000000-0004-0000-0200-0000BD040000}"/>
    <hyperlink ref="S1099" r:id="rId1215" xr:uid="{00000000-0004-0000-0200-0000BE040000}"/>
    <hyperlink ref="F1100" r:id="rId1216" xr:uid="{00000000-0004-0000-0200-0000BF040000}"/>
    <hyperlink ref="G1100" r:id="rId1217" xr:uid="{00000000-0004-0000-0200-0000C0040000}"/>
    <hyperlink ref="S1100" r:id="rId1218" xr:uid="{00000000-0004-0000-0200-0000C1040000}"/>
    <hyperlink ref="S1101" r:id="rId1219" xr:uid="{00000000-0004-0000-0200-0000C2040000}"/>
    <hyperlink ref="F1103" r:id="rId1220" xr:uid="{00000000-0004-0000-0200-0000C3040000}"/>
    <hyperlink ref="G1103" r:id="rId1221" xr:uid="{00000000-0004-0000-0200-0000C4040000}"/>
    <hyperlink ref="S1103" r:id="rId1222" xr:uid="{00000000-0004-0000-0200-0000C5040000}"/>
    <hyperlink ref="G1104" r:id="rId1223" xr:uid="{00000000-0004-0000-0200-0000C6040000}"/>
    <hyperlink ref="S1105" r:id="rId1224" xr:uid="{00000000-0004-0000-0200-0000C7040000}"/>
    <hyperlink ref="F1106" r:id="rId1225" xr:uid="{00000000-0004-0000-0200-0000C8040000}"/>
    <hyperlink ref="F1107" r:id="rId1226" xr:uid="{00000000-0004-0000-0200-0000C9040000}"/>
    <hyperlink ref="S1107" r:id="rId1227" xr:uid="{00000000-0004-0000-0200-0000CA040000}"/>
    <hyperlink ref="G1108" r:id="rId1228" xr:uid="{00000000-0004-0000-0200-0000CB040000}"/>
    <hyperlink ref="S1108" r:id="rId1229" xr:uid="{00000000-0004-0000-0200-0000CC040000}"/>
    <hyperlink ref="F1109" r:id="rId1230" xr:uid="{00000000-0004-0000-0200-0000CD040000}"/>
    <hyperlink ref="S1109" r:id="rId1231" xr:uid="{00000000-0004-0000-0200-0000CE040000}"/>
    <hyperlink ref="F1110" r:id="rId1232" xr:uid="{00000000-0004-0000-0200-0000CF040000}"/>
    <hyperlink ref="F1111" r:id="rId1233" xr:uid="{00000000-0004-0000-0200-0000D0040000}"/>
    <hyperlink ref="F1112" r:id="rId1234" xr:uid="{00000000-0004-0000-0200-0000D1040000}"/>
    <hyperlink ref="G1112" r:id="rId1235" xr:uid="{00000000-0004-0000-0200-0000D2040000}"/>
    <hyperlink ref="F1113" r:id="rId1236" xr:uid="{00000000-0004-0000-0200-0000D3040000}"/>
    <hyperlink ref="F1114" r:id="rId1237" xr:uid="{00000000-0004-0000-0200-0000D4040000}"/>
    <hyperlink ref="S1116" r:id="rId1238" xr:uid="{00000000-0004-0000-0200-0000D5040000}"/>
    <hyperlink ref="F1117" r:id="rId1239" xr:uid="{00000000-0004-0000-0200-0000D6040000}"/>
    <hyperlink ref="G1117" r:id="rId1240" xr:uid="{00000000-0004-0000-0200-0000D7040000}"/>
    <hyperlink ref="F1118" r:id="rId1241" xr:uid="{00000000-0004-0000-0200-0000D8040000}"/>
    <hyperlink ref="F1119" r:id="rId1242" xr:uid="{00000000-0004-0000-0200-0000D9040000}"/>
    <hyperlink ref="G1120" r:id="rId1243" xr:uid="{00000000-0004-0000-0200-0000DA040000}"/>
    <hyperlink ref="S1120" r:id="rId1244" xr:uid="{00000000-0004-0000-0200-0000DB040000}"/>
    <hyperlink ref="G1122" r:id="rId1245" xr:uid="{00000000-0004-0000-0200-0000DC040000}"/>
    <hyperlink ref="G1123" r:id="rId1246" xr:uid="{00000000-0004-0000-0200-0000DD040000}"/>
    <hyperlink ref="F1125" r:id="rId1247" xr:uid="{00000000-0004-0000-0200-0000DE040000}"/>
    <hyperlink ref="G1125" r:id="rId1248" xr:uid="{00000000-0004-0000-0200-0000DF040000}"/>
    <hyperlink ref="F1126" r:id="rId1249" xr:uid="{00000000-0004-0000-0200-0000E0040000}"/>
    <hyperlink ref="G1126" r:id="rId1250" xr:uid="{00000000-0004-0000-0200-0000E1040000}"/>
    <hyperlink ref="S1129" r:id="rId1251" xr:uid="{00000000-0004-0000-0200-0000E2040000}"/>
    <hyperlink ref="G1130" r:id="rId1252" xr:uid="{00000000-0004-0000-0200-0000E3040000}"/>
    <hyperlink ref="F1131" r:id="rId1253" xr:uid="{00000000-0004-0000-0200-0000E4040000}"/>
    <hyperlink ref="G1132" r:id="rId1254" xr:uid="{00000000-0004-0000-0200-0000E5040000}"/>
    <hyperlink ref="F1133" r:id="rId1255" xr:uid="{00000000-0004-0000-0200-0000E6040000}"/>
    <hyperlink ref="G1133" r:id="rId1256" xr:uid="{00000000-0004-0000-0200-0000E7040000}"/>
    <hyperlink ref="S1133" r:id="rId1257" xr:uid="{00000000-0004-0000-0200-0000E8040000}"/>
    <hyperlink ref="F1134" r:id="rId1258" xr:uid="{00000000-0004-0000-0200-0000E9040000}"/>
    <hyperlink ref="G1135" r:id="rId1259" xr:uid="{00000000-0004-0000-0200-0000EA040000}"/>
    <hyperlink ref="S1137" r:id="rId1260" xr:uid="{00000000-0004-0000-0200-0000EB040000}"/>
    <hyperlink ref="G1138" r:id="rId1261" xr:uid="{00000000-0004-0000-0200-0000EC040000}"/>
    <hyperlink ref="S1139" r:id="rId1262" xr:uid="{00000000-0004-0000-0200-0000ED040000}"/>
    <hyperlink ref="G1140" r:id="rId1263" xr:uid="{00000000-0004-0000-0200-0000EE040000}"/>
    <hyperlink ref="S1140" r:id="rId1264" xr:uid="{00000000-0004-0000-0200-0000EF040000}"/>
    <hyperlink ref="G1141" r:id="rId1265" xr:uid="{00000000-0004-0000-0200-0000F0040000}"/>
    <hyperlink ref="S1141" r:id="rId1266" xr:uid="{00000000-0004-0000-0200-0000F1040000}"/>
    <hyperlink ref="G1142" r:id="rId1267" xr:uid="{00000000-0004-0000-0200-0000F2040000}"/>
    <hyperlink ref="F1143" r:id="rId1268" xr:uid="{00000000-0004-0000-0200-0000F3040000}"/>
    <hyperlink ref="F1144" r:id="rId1269" xr:uid="{00000000-0004-0000-0200-0000F4040000}"/>
    <hyperlink ref="G1144" r:id="rId1270" xr:uid="{00000000-0004-0000-0200-0000F5040000}"/>
    <hyperlink ref="S1144" r:id="rId1271" xr:uid="{00000000-0004-0000-0200-0000F6040000}"/>
    <hyperlink ref="F1145" r:id="rId1272" xr:uid="{00000000-0004-0000-0200-0000F7040000}"/>
    <hyperlink ref="S1145" r:id="rId1273" xr:uid="{00000000-0004-0000-0200-0000F8040000}"/>
    <hyperlink ref="F1146" r:id="rId1274" xr:uid="{00000000-0004-0000-0200-0000F9040000}"/>
    <hyperlink ref="S1146" r:id="rId1275" xr:uid="{00000000-0004-0000-0200-0000FA040000}"/>
    <hyperlink ref="G1147" r:id="rId1276" xr:uid="{00000000-0004-0000-0200-0000FB040000}"/>
    <hyperlink ref="F1149" r:id="rId1277" xr:uid="{00000000-0004-0000-0200-0000FC040000}"/>
    <hyperlink ref="S1149" r:id="rId1278" xr:uid="{00000000-0004-0000-0200-0000FD040000}"/>
    <hyperlink ref="G1150" r:id="rId1279" xr:uid="{00000000-0004-0000-0200-0000FE040000}"/>
    <hyperlink ref="S1150" r:id="rId1280" xr:uid="{00000000-0004-0000-0200-0000FF040000}"/>
    <hyperlink ref="F1151" r:id="rId1281" xr:uid="{00000000-0004-0000-0200-000000050000}"/>
    <hyperlink ref="G1152" r:id="rId1282" xr:uid="{00000000-0004-0000-0200-000001050000}"/>
    <hyperlink ref="S1152" r:id="rId1283" xr:uid="{00000000-0004-0000-0200-000002050000}"/>
    <hyperlink ref="F1154" r:id="rId1284" xr:uid="{00000000-0004-0000-0200-000003050000}"/>
    <hyperlink ref="G1155" r:id="rId1285" xr:uid="{00000000-0004-0000-0200-000004050000}"/>
    <hyperlink ref="S1155" r:id="rId1286" xr:uid="{00000000-0004-0000-0200-000005050000}"/>
    <hyperlink ref="G1156" r:id="rId1287" xr:uid="{00000000-0004-0000-0200-000006050000}"/>
    <hyperlink ref="S1156" r:id="rId1288" xr:uid="{00000000-0004-0000-0200-000007050000}"/>
    <hyperlink ref="F1158" r:id="rId1289" xr:uid="{00000000-0004-0000-0200-000008050000}"/>
    <hyperlink ref="F1159" r:id="rId1290" xr:uid="{00000000-0004-0000-0200-000009050000}"/>
    <hyperlink ref="S1159" r:id="rId1291" xr:uid="{00000000-0004-0000-0200-00000A050000}"/>
    <hyperlink ref="F1160" r:id="rId1292" xr:uid="{00000000-0004-0000-0200-00000B050000}"/>
    <hyperlink ref="G1160" r:id="rId1293" xr:uid="{00000000-0004-0000-0200-00000C050000}"/>
    <hyperlink ref="F1161" r:id="rId1294" xr:uid="{00000000-0004-0000-0200-00000D050000}"/>
    <hyperlink ref="F1162" r:id="rId1295" xr:uid="{00000000-0004-0000-0200-00000E050000}"/>
    <hyperlink ref="G1162" r:id="rId1296" xr:uid="{00000000-0004-0000-0200-00000F050000}"/>
    <hyperlink ref="G1163" r:id="rId1297" xr:uid="{00000000-0004-0000-0200-000010050000}"/>
    <hyperlink ref="F1165" r:id="rId1298" xr:uid="{00000000-0004-0000-0200-000011050000}"/>
    <hyperlink ref="G1166" r:id="rId1299" xr:uid="{00000000-0004-0000-0200-000012050000}"/>
    <hyperlink ref="S1166" r:id="rId1300" xr:uid="{00000000-0004-0000-0200-000013050000}"/>
    <hyperlink ref="G1168" r:id="rId1301" xr:uid="{00000000-0004-0000-0200-000014050000}"/>
    <hyperlink ref="F1169" r:id="rId1302" xr:uid="{00000000-0004-0000-0200-000015050000}"/>
    <hyperlink ref="F1171" r:id="rId1303" xr:uid="{00000000-0004-0000-0200-000016050000}"/>
    <hyperlink ref="S1171" r:id="rId1304" xr:uid="{00000000-0004-0000-0200-000017050000}"/>
    <hyperlink ref="S1172" r:id="rId1305" xr:uid="{00000000-0004-0000-0200-000018050000}"/>
    <hyperlink ref="S1173" r:id="rId1306" xr:uid="{00000000-0004-0000-0200-000019050000}"/>
    <hyperlink ref="F1174" r:id="rId1307" xr:uid="{00000000-0004-0000-0200-00001A050000}"/>
    <hyperlink ref="G1176" r:id="rId1308" xr:uid="{00000000-0004-0000-0200-00001B050000}"/>
    <hyperlink ref="F1177" r:id="rId1309" xr:uid="{00000000-0004-0000-0200-00001C050000}"/>
    <hyperlink ref="F1178" r:id="rId1310" xr:uid="{00000000-0004-0000-0200-00001D050000}"/>
    <hyperlink ref="F1179" r:id="rId1311" xr:uid="{00000000-0004-0000-0200-00001E050000}"/>
    <hyperlink ref="F1181" r:id="rId1312" xr:uid="{00000000-0004-0000-0200-00001F050000}"/>
    <hyperlink ref="S1181" r:id="rId1313" xr:uid="{00000000-0004-0000-0200-000020050000}"/>
    <hyperlink ref="F1182" r:id="rId1314" xr:uid="{00000000-0004-0000-0200-000021050000}"/>
    <hyperlink ref="S1182" r:id="rId1315" xr:uid="{00000000-0004-0000-0200-000022050000}"/>
    <hyperlink ref="F1183" r:id="rId1316" location="click=https://t.co/w4sRPnWy1n" xr:uid="{00000000-0004-0000-0200-000023050000}"/>
    <hyperlink ref="S1184" r:id="rId1317" xr:uid="{00000000-0004-0000-0200-000024050000}"/>
    <hyperlink ref="S1186" r:id="rId1318" xr:uid="{00000000-0004-0000-0200-000025050000}"/>
    <hyperlink ref="G1189" r:id="rId1319" xr:uid="{00000000-0004-0000-0200-000026050000}"/>
    <hyperlink ref="G1191" r:id="rId1320" xr:uid="{00000000-0004-0000-0200-000027050000}"/>
    <hyperlink ref="F1192" r:id="rId1321" xr:uid="{00000000-0004-0000-0200-000028050000}"/>
    <hyperlink ref="F1193" r:id="rId1322" xr:uid="{00000000-0004-0000-0200-000029050000}"/>
    <hyperlink ref="G1193" r:id="rId1323" xr:uid="{00000000-0004-0000-0200-00002A050000}"/>
    <hyperlink ref="F1194" r:id="rId1324" xr:uid="{00000000-0004-0000-0200-00002B050000}"/>
    <hyperlink ref="S1194" r:id="rId1325" xr:uid="{00000000-0004-0000-0200-00002C050000}"/>
    <hyperlink ref="G1195" r:id="rId1326" xr:uid="{00000000-0004-0000-0200-00002D050000}"/>
    <hyperlink ref="S1195" r:id="rId1327" xr:uid="{00000000-0004-0000-0200-00002E050000}"/>
    <hyperlink ref="G1197" r:id="rId1328" xr:uid="{00000000-0004-0000-0200-00002F050000}"/>
    <hyperlink ref="S1197" r:id="rId1329" xr:uid="{00000000-0004-0000-0200-000030050000}"/>
    <hyperlink ref="F1198" r:id="rId1330" xr:uid="{00000000-0004-0000-0200-000031050000}"/>
    <hyperlink ref="G1198" r:id="rId1331" xr:uid="{00000000-0004-0000-0200-000032050000}"/>
    <hyperlink ref="F1199" r:id="rId1332" xr:uid="{00000000-0004-0000-0200-000033050000}"/>
    <hyperlink ref="F1200" r:id="rId1333" xr:uid="{00000000-0004-0000-0200-000034050000}"/>
    <hyperlink ref="S1200" r:id="rId1334" xr:uid="{00000000-0004-0000-0200-000035050000}"/>
    <hyperlink ref="F1201" r:id="rId1335" xr:uid="{00000000-0004-0000-0200-000036050000}"/>
    <hyperlink ref="F1202" r:id="rId1336" xr:uid="{00000000-0004-0000-0200-000037050000}"/>
    <hyperlink ref="F1203" r:id="rId1337" xr:uid="{00000000-0004-0000-0200-000038050000}"/>
    <hyperlink ref="F1206" r:id="rId1338" xr:uid="{00000000-0004-0000-0200-000039050000}"/>
    <hyperlink ref="S1206" r:id="rId1339" xr:uid="{00000000-0004-0000-0200-00003A050000}"/>
    <hyperlink ref="G1207" r:id="rId1340" xr:uid="{00000000-0004-0000-0200-00003B050000}"/>
    <hyperlink ref="G1208" r:id="rId1341" xr:uid="{00000000-0004-0000-0200-00003C050000}"/>
    <hyperlink ref="F1209" r:id="rId1342" xr:uid="{00000000-0004-0000-0200-00003D050000}"/>
    <hyperlink ref="F1210" r:id="rId1343" xr:uid="{00000000-0004-0000-0200-00003E050000}"/>
    <hyperlink ref="F1212" r:id="rId1344" xr:uid="{00000000-0004-0000-0200-00003F050000}"/>
    <hyperlink ref="S1212" r:id="rId1345" xr:uid="{00000000-0004-0000-0200-000040050000}"/>
    <hyperlink ref="S1213" r:id="rId1346" xr:uid="{00000000-0004-0000-0200-000041050000}"/>
    <hyperlink ref="F1214" r:id="rId1347" xr:uid="{00000000-0004-0000-0200-000042050000}"/>
    <hyperlink ref="F1216" r:id="rId1348" xr:uid="{00000000-0004-0000-0200-000043050000}"/>
    <hyperlink ref="G1216" r:id="rId1349" xr:uid="{00000000-0004-0000-0200-000044050000}"/>
    <hyperlink ref="S1216" r:id="rId1350" xr:uid="{00000000-0004-0000-0200-000045050000}"/>
    <hyperlink ref="S1217" r:id="rId1351" xr:uid="{00000000-0004-0000-0200-000046050000}"/>
    <hyperlink ref="F1218" r:id="rId1352" xr:uid="{00000000-0004-0000-0200-000047050000}"/>
    <hyperlink ref="F1219" r:id="rId1353" xr:uid="{00000000-0004-0000-0200-000048050000}"/>
    <hyperlink ref="S1220" r:id="rId1354" xr:uid="{00000000-0004-0000-0200-000049050000}"/>
    <hyperlink ref="F1222" r:id="rId1355" xr:uid="{00000000-0004-0000-0200-00004A050000}"/>
    <hyperlink ref="S1222" r:id="rId1356" xr:uid="{00000000-0004-0000-0200-00004B050000}"/>
    <hyperlink ref="F1223" r:id="rId1357" xr:uid="{00000000-0004-0000-0200-00004C050000}"/>
    <hyperlink ref="F1224" r:id="rId1358" xr:uid="{00000000-0004-0000-0200-00004D050000}"/>
    <hyperlink ref="G1225" r:id="rId1359" xr:uid="{00000000-0004-0000-0200-00004E050000}"/>
    <hyperlink ref="S1227" r:id="rId1360" xr:uid="{00000000-0004-0000-0200-00004F050000}"/>
    <hyperlink ref="G1228" r:id="rId1361" xr:uid="{00000000-0004-0000-0200-000050050000}"/>
    <hyperlink ref="F1229" r:id="rId1362" xr:uid="{00000000-0004-0000-0200-000051050000}"/>
    <hyperlink ref="S1229" r:id="rId1363" xr:uid="{00000000-0004-0000-0200-000052050000}"/>
    <hyperlink ref="S1230" r:id="rId1364" xr:uid="{00000000-0004-0000-0200-000053050000}"/>
    <hyperlink ref="S1232" r:id="rId1365" xr:uid="{00000000-0004-0000-0200-000054050000}"/>
    <hyperlink ref="F1233" r:id="rId1366" xr:uid="{00000000-0004-0000-0200-000055050000}"/>
    <hyperlink ref="S1233" r:id="rId1367" xr:uid="{00000000-0004-0000-0200-000056050000}"/>
    <hyperlink ref="S1235" r:id="rId1368" xr:uid="{00000000-0004-0000-0200-000057050000}"/>
    <hyperlink ref="S1237" r:id="rId1369" xr:uid="{00000000-0004-0000-0200-000058050000}"/>
    <hyperlink ref="G1238" r:id="rId1370" xr:uid="{00000000-0004-0000-0200-000059050000}"/>
    <hyperlink ref="S1238" r:id="rId1371" xr:uid="{00000000-0004-0000-0200-00005A050000}"/>
    <hyperlink ref="G1240" r:id="rId1372" xr:uid="{00000000-0004-0000-0200-00005B050000}"/>
    <hyperlink ref="S1240" r:id="rId1373" xr:uid="{00000000-0004-0000-0200-00005C050000}"/>
    <hyperlink ref="F1242" r:id="rId1374" xr:uid="{00000000-0004-0000-0200-00005D050000}"/>
    <hyperlink ref="G1242" r:id="rId1375" xr:uid="{00000000-0004-0000-0200-00005E050000}"/>
    <hyperlink ref="G1243" r:id="rId1376" xr:uid="{00000000-0004-0000-0200-00005F050000}"/>
    <hyperlink ref="G1244" r:id="rId1377" xr:uid="{00000000-0004-0000-0200-000060050000}"/>
    <hyperlink ref="S1244" r:id="rId1378" xr:uid="{00000000-0004-0000-0200-000061050000}"/>
    <hyperlink ref="F1246" r:id="rId1379" xr:uid="{00000000-0004-0000-0200-000062050000}"/>
    <hyperlink ref="S1246" r:id="rId1380" xr:uid="{00000000-0004-0000-0200-000063050000}"/>
    <hyperlink ref="F1247" r:id="rId1381" xr:uid="{00000000-0004-0000-0200-000064050000}"/>
    <hyperlink ref="S1247" r:id="rId1382" xr:uid="{00000000-0004-0000-0200-000065050000}"/>
    <hyperlink ref="G1248" r:id="rId1383" xr:uid="{00000000-0004-0000-0200-000066050000}"/>
    <hyperlink ref="S1248" r:id="rId1384" xr:uid="{00000000-0004-0000-0200-000067050000}"/>
    <hyperlink ref="G1249" r:id="rId1385" xr:uid="{00000000-0004-0000-0200-000068050000}"/>
    <hyperlink ref="F1250" r:id="rId1386" xr:uid="{00000000-0004-0000-0200-000069050000}"/>
    <hyperlink ref="F1251" r:id="rId1387" xr:uid="{00000000-0004-0000-0200-00006A050000}"/>
    <hyperlink ref="G1251" r:id="rId1388" xr:uid="{00000000-0004-0000-0200-00006B050000}"/>
    <hyperlink ref="F1252" r:id="rId1389" xr:uid="{00000000-0004-0000-0200-00006C050000}"/>
    <hyperlink ref="G1252" r:id="rId1390" xr:uid="{00000000-0004-0000-0200-00006D050000}"/>
    <hyperlink ref="F1253" r:id="rId1391" xr:uid="{00000000-0004-0000-0200-00006E050000}"/>
    <hyperlink ref="G1253" r:id="rId1392" xr:uid="{00000000-0004-0000-0200-00006F050000}"/>
    <hyperlink ref="S1253" r:id="rId1393" xr:uid="{00000000-0004-0000-0200-000070050000}"/>
    <hyperlink ref="F1254" r:id="rId1394" xr:uid="{00000000-0004-0000-0200-000071050000}"/>
    <hyperlink ref="S1254" r:id="rId1395" xr:uid="{00000000-0004-0000-0200-000072050000}"/>
    <hyperlink ref="G1256" r:id="rId1396" xr:uid="{00000000-0004-0000-0200-000073050000}"/>
    <hyperlink ref="G1257" r:id="rId1397" xr:uid="{00000000-0004-0000-0200-000074050000}"/>
    <hyperlink ref="S1257" r:id="rId1398" xr:uid="{00000000-0004-0000-0200-000075050000}"/>
    <hyperlink ref="F1258" r:id="rId1399" xr:uid="{00000000-0004-0000-0200-000076050000}"/>
    <hyperlink ref="F1259" r:id="rId1400" xr:uid="{00000000-0004-0000-0200-000077050000}"/>
    <hyperlink ref="S1259" r:id="rId1401" xr:uid="{00000000-0004-0000-0200-000078050000}"/>
    <hyperlink ref="F1260" r:id="rId1402" xr:uid="{00000000-0004-0000-0200-000079050000}"/>
    <hyperlink ref="G1261" r:id="rId1403" xr:uid="{00000000-0004-0000-0200-00007A050000}"/>
    <hyperlink ref="S1262" r:id="rId1404" xr:uid="{00000000-0004-0000-0200-00007B050000}"/>
    <hyperlink ref="F1263" r:id="rId1405" xr:uid="{00000000-0004-0000-0200-00007C050000}"/>
    <hyperlink ref="F1264" r:id="rId1406" xr:uid="{00000000-0004-0000-0200-00007D050000}"/>
    <hyperlink ref="G1265" r:id="rId1407" xr:uid="{00000000-0004-0000-0200-00007E050000}"/>
    <hyperlink ref="F1268" r:id="rId1408" xr:uid="{00000000-0004-0000-0200-00007F050000}"/>
    <hyperlink ref="F1269" r:id="rId1409" xr:uid="{00000000-0004-0000-0200-000080050000}"/>
    <hyperlink ref="G1270" r:id="rId1410" xr:uid="{00000000-0004-0000-0200-000081050000}"/>
    <hyperlink ref="S1271" r:id="rId1411" xr:uid="{00000000-0004-0000-0200-000082050000}"/>
    <hyperlink ref="F1272" r:id="rId1412" xr:uid="{00000000-0004-0000-0200-000083050000}"/>
    <hyperlink ref="G1273" r:id="rId1413" xr:uid="{00000000-0004-0000-0200-000084050000}"/>
    <hyperlink ref="F1274" r:id="rId1414" xr:uid="{00000000-0004-0000-0200-000085050000}"/>
    <hyperlink ref="F1275" r:id="rId1415" xr:uid="{00000000-0004-0000-0200-000086050000}"/>
    <hyperlink ref="S1276" r:id="rId1416" xr:uid="{00000000-0004-0000-0200-000087050000}"/>
    <hyperlink ref="F1279" r:id="rId1417" xr:uid="{00000000-0004-0000-0200-000088050000}"/>
    <hyperlink ref="G1280" r:id="rId1418" xr:uid="{00000000-0004-0000-0200-000089050000}"/>
    <hyperlink ref="S1280" r:id="rId1419" xr:uid="{00000000-0004-0000-0200-00008A050000}"/>
    <hyperlink ref="S1283" r:id="rId1420" xr:uid="{00000000-0004-0000-0200-00008B050000}"/>
    <hyperlink ref="F1284" r:id="rId1421" xr:uid="{00000000-0004-0000-0200-00008C050000}"/>
    <hyperlink ref="F1285" r:id="rId1422" xr:uid="{00000000-0004-0000-0200-00008D050000}"/>
    <hyperlink ref="F1286" r:id="rId1423" xr:uid="{00000000-0004-0000-0200-00008E050000}"/>
    <hyperlink ref="G1286" r:id="rId1424" xr:uid="{00000000-0004-0000-0200-00008F050000}"/>
    <hyperlink ref="F1287" r:id="rId1425" xr:uid="{00000000-0004-0000-0200-000090050000}"/>
    <hyperlink ref="G1288" r:id="rId1426" xr:uid="{00000000-0004-0000-0200-000091050000}"/>
    <hyperlink ref="S1288" r:id="rId1427" xr:uid="{00000000-0004-0000-0200-000092050000}"/>
    <hyperlink ref="G1290" r:id="rId1428" xr:uid="{00000000-0004-0000-0200-000093050000}"/>
    <hyperlink ref="F1291" r:id="rId1429" xr:uid="{00000000-0004-0000-0200-000094050000}"/>
    <hyperlink ref="F1292" r:id="rId1430" xr:uid="{00000000-0004-0000-0200-000095050000}"/>
    <hyperlink ref="G1293" r:id="rId1431" xr:uid="{00000000-0004-0000-0200-000096050000}"/>
    <hyperlink ref="S1293" r:id="rId1432" xr:uid="{00000000-0004-0000-0200-000097050000}"/>
    <hyperlink ref="G1295" r:id="rId1433" xr:uid="{00000000-0004-0000-0200-000098050000}"/>
    <hyperlink ref="S1295" r:id="rId1434" xr:uid="{00000000-0004-0000-0200-000099050000}"/>
    <hyperlink ref="G1296" r:id="rId1435" xr:uid="{00000000-0004-0000-0200-00009A050000}"/>
    <hyperlink ref="S1296" r:id="rId1436" xr:uid="{00000000-0004-0000-0200-00009B050000}"/>
    <hyperlink ref="S1297" r:id="rId1437" xr:uid="{00000000-0004-0000-0200-00009C050000}"/>
    <hyperlink ref="F1299" r:id="rId1438" xr:uid="{00000000-0004-0000-0200-00009D050000}"/>
    <hyperlink ref="G1300" r:id="rId1439" xr:uid="{00000000-0004-0000-0200-00009E050000}"/>
    <hyperlink ref="S1300" r:id="rId1440" xr:uid="{00000000-0004-0000-0200-00009F050000}"/>
    <hyperlink ref="F1302" r:id="rId1441" xr:uid="{00000000-0004-0000-0200-0000A0050000}"/>
    <hyperlink ref="S1302" r:id="rId1442" xr:uid="{00000000-0004-0000-0200-0000A1050000}"/>
    <hyperlink ref="S1307" r:id="rId1443" xr:uid="{00000000-0004-0000-0200-0000A2050000}"/>
    <hyperlink ref="F1308" r:id="rId1444" xr:uid="{00000000-0004-0000-0200-0000A3050000}"/>
    <hyperlink ref="S1308" r:id="rId1445" xr:uid="{00000000-0004-0000-0200-0000A4050000}"/>
    <hyperlink ref="S1309" r:id="rId1446" xr:uid="{00000000-0004-0000-0200-0000A5050000}"/>
    <hyperlink ref="F1312" r:id="rId1447" xr:uid="{00000000-0004-0000-0200-0000A6050000}"/>
    <hyperlink ref="G1312" r:id="rId1448" xr:uid="{00000000-0004-0000-0200-0000A7050000}"/>
    <hyperlink ref="F1313" r:id="rId1449" xr:uid="{00000000-0004-0000-0200-0000A8050000}"/>
    <hyperlink ref="S1313" r:id="rId1450" xr:uid="{00000000-0004-0000-0200-0000A9050000}"/>
    <hyperlink ref="S1314" r:id="rId1451" xr:uid="{00000000-0004-0000-0200-0000AA050000}"/>
    <hyperlink ref="F1315" r:id="rId1452" xr:uid="{00000000-0004-0000-0200-0000AB050000}"/>
    <hyperlink ref="S1315" r:id="rId1453" xr:uid="{00000000-0004-0000-0200-0000AC050000}"/>
    <hyperlink ref="S1317" r:id="rId1454" xr:uid="{00000000-0004-0000-0200-0000AD050000}"/>
    <hyperlink ref="S1319" r:id="rId1455" xr:uid="{00000000-0004-0000-0200-0000AE050000}"/>
    <hyperlink ref="G1321" r:id="rId1456" xr:uid="{00000000-0004-0000-0200-0000AF050000}"/>
    <hyperlink ref="S1328" r:id="rId1457" xr:uid="{00000000-0004-0000-0200-0000B0050000}"/>
    <hyperlink ref="S1334" r:id="rId1458" xr:uid="{00000000-0004-0000-0200-0000B1050000}"/>
    <hyperlink ref="G1336" r:id="rId1459" xr:uid="{00000000-0004-0000-0200-0000B2050000}"/>
    <hyperlink ref="S1336" r:id="rId1460" xr:uid="{00000000-0004-0000-0200-0000B3050000}"/>
    <hyperlink ref="F1338" r:id="rId1461" xr:uid="{00000000-0004-0000-0200-0000B4050000}"/>
    <hyperlink ref="G1339" r:id="rId1462" xr:uid="{00000000-0004-0000-0200-0000B5050000}"/>
    <hyperlink ref="S1339" r:id="rId1463" xr:uid="{00000000-0004-0000-0200-0000B6050000}"/>
    <hyperlink ref="G1340" r:id="rId1464" xr:uid="{00000000-0004-0000-0200-0000B7050000}"/>
    <hyperlink ref="S1340" r:id="rId1465" xr:uid="{00000000-0004-0000-0200-0000B8050000}"/>
    <hyperlink ref="S1342" r:id="rId1466" xr:uid="{00000000-0004-0000-0200-0000B9050000}"/>
    <hyperlink ref="F1343" r:id="rId1467" xr:uid="{00000000-0004-0000-0200-0000BA050000}"/>
    <hyperlink ref="G1343" r:id="rId1468" xr:uid="{00000000-0004-0000-0200-0000BB050000}"/>
    <hyperlink ref="S1343" r:id="rId1469" xr:uid="{00000000-0004-0000-0200-0000BC050000}"/>
    <hyperlink ref="S1344" r:id="rId1470" xr:uid="{00000000-0004-0000-0200-0000BD050000}"/>
    <hyperlink ref="F1345" r:id="rId1471" xr:uid="{00000000-0004-0000-0200-0000BE050000}"/>
    <hyperlink ref="F1346" r:id="rId1472" xr:uid="{00000000-0004-0000-0200-0000BF050000}"/>
    <hyperlink ref="S1346" r:id="rId1473" xr:uid="{00000000-0004-0000-0200-0000C0050000}"/>
    <hyperlink ref="F1349" r:id="rId1474" xr:uid="{00000000-0004-0000-0200-0000C1050000}"/>
    <hyperlink ref="G1349" r:id="rId1475" xr:uid="{00000000-0004-0000-0200-0000C2050000}"/>
    <hyperlink ref="S1349" r:id="rId1476" xr:uid="{00000000-0004-0000-0200-0000C3050000}"/>
    <hyperlink ref="F1350" r:id="rId1477" xr:uid="{00000000-0004-0000-0200-0000C4050000}"/>
    <hyperlink ref="S1350" r:id="rId1478" xr:uid="{00000000-0004-0000-0200-0000C5050000}"/>
    <hyperlink ref="F1351" r:id="rId1479" xr:uid="{00000000-0004-0000-0200-0000C6050000}"/>
    <hyperlink ref="G1351" r:id="rId1480" xr:uid="{00000000-0004-0000-0200-0000C7050000}"/>
    <hyperlink ref="S1351" r:id="rId1481" xr:uid="{00000000-0004-0000-0200-0000C8050000}"/>
    <hyperlink ref="F1354" r:id="rId1482" xr:uid="{00000000-0004-0000-0200-0000C9050000}"/>
    <hyperlink ref="S1354" r:id="rId1483" xr:uid="{00000000-0004-0000-0200-0000CA050000}"/>
    <hyperlink ref="S1355" r:id="rId1484" xr:uid="{00000000-0004-0000-0200-0000CB050000}"/>
    <hyperlink ref="G1356" r:id="rId1485" xr:uid="{00000000-0004-0000-0200-0000CC050000}"/>
    <hyperlink ref="F1357" r:id="rId1486" xr:uid="{00000000-0004-0000-0200-0000CD050000}"/>
    <hyperlink ref="G1357" r:id="rId1487" xr:uid="{00000000-0004-0000-0200-0000CE050000}"/>
    <hyperlink ref="S1357" r:id="rId1488" xr:uid="{00000000-0004-0000-0200-0000CF050000}"/>
    <hyperlink ref="F1358" r:id="rId1489" xr:uid="{00000000-0004-0000-0200-0000D0050000}"/>
    <hyperlink ref="G1358" r:id="rId1490" xr:uid="{00000000-0004-0000-0200-0000D1050000}"/>
    <hyperlink ref="S1360" r:id="rId1491" xr:uid="{00000000-0004-0000-0200-0000D2050000}"/>
    <hyperlink ref="F1361" r:id="rId1492" xr:uid="{00000000-0004-0000-0200-0000D3050000}"/>
    <hyperlink ref="G1361" r:id="rId1493" xr:uid="{00000000-0004-0000-0200-0000D4050000}"/>
    <hyperlink ref="S1361" r:id="rId1494" xr:uid="{00000000-0004-0000-0200-0000D5050000}"/>
    <hyperlink ref="G1362" r:id="rId1495" xr:uid="{00000000-0004-0000-0200-0000D6050000}"/>
    <hyperlink ref="S1362" r:id="rId1496" xr:uid="{00000000-0004-0000-0200-0000D7050000}"/>
    <hyperlink ref="S1364" r:id="rId1497" xr:uid="{00000000-0004-0000-0200-0000D8050000}"/>
    <hyperlink ref="G1365" r:id="rId1498" xr:uid="{00000000-0004-0000-0200-0000D9050000}"/>
    <hyperlink ref="S1366" r:id="rId1499" xr:uid="{00000000-0004-0000-0200-0000DA050000}"/>
    <hyperlink ref="F1367" r:id="rId1500" xr:uid="{00000000-0004-0000-0200-0000DB050000}"/>
    <hyperlink ref="G1367" r:id="rId1501" xr:uid="{00000000-0004-0000-0200-0000DC050000}"/>
    <hyperlink ref="S1367" r:id="rId1502" xr:uid="{00000000-0004-0000-0200-0000DD050000}"/>
    <hyperlink ref="G1369" r:id="rId1503" xr:uid="{00000000-0004-0000-0200-0000DE050000}"/>
    <hyperlink ref="F1370" r:id="rId1504" location=".W_VHGlRKi1s" xr:uid="{00000000-0004-0000-0200-0000DF050000}"/>
    <hyperlink ref="G1370" r:id="rId1505" xr:uid="{00000000-0004-0000-0200-0000E0050000}"/>
    <hyperlink ref="S1370" r:id="rId1506" xr:uid="{00000000-0004-0000-0200-0000E1050000}"/>
    <hyperlink ref="F1371" r:id="rId1507" xr:uid="{00000000-0004-0000-0200-0000E2050000}"/>
    <hyperlink ref="G1371" r:id="rId1508" xr:uid="{00000000-0004-0000-0200-0000E3050000}"/>
    <hyperlink ref="S1371" r:id="rId1509" xr:uid="{00000000-0004-0000-0200-0000E4050000}"/>
    <hyperlink ref="S1372" r:id="rId1510" xr:uid="{00000000-0004-0000-0200-0000E5050000}"/>
    <hyperlink ref="G1373" r:id="rId1511" xr:uid="{00000000-0004-0000-0200-0000E6050000}"/>
    <hyperlink ref="F1374" r:id="rId1512" xr:uid="{00000000-0004-0000-0200-0000E7050000}"/>
    <hyperlink ref="F1375" r:id="rId1513" xr:uid="{00000000-0004-0000-0200-0000E8050000}"/>
    <hyperlink ref="S1375" r:id="rId1514" xr:uid="{00000000-0004-0000-0200-0000E9050000}"/>
    <hyperlink ref="G1376" r:id="rId1515" xr:uid="{00000000-0004-0000-0200-0000EA050000}"/>
    <hyperlink ref="F1377" r:id="rId1516" xr:uid="{00000000-0004-0000-0200-0000EB050000}"/>
    <hyperlink ref="G1377" r:id="rId1517" xr:uid="{00000000-0004-0000-0200-0000EC050000}"/>
    <hyperlink ref="G1378" r:id="rId1518" xr:uid="{00000000-0004-0000-0200-0000ED050000}"/>
    <hyperlink ref="G1379" r:id="rId1519" xr:uid="{00000000-0004-0000-0200-0000EE050000}"/>
    <hyperlink ref="S1379" r:id="rId1520" xr:uid="{00000000-0004-0000-0200-0000EF050000}"/>
    <hyperlink ref="G1380" r:id="rId1521" xr:uid="{00000000-0004-0000-0200-0000F0050000}"/>
    <hyperlink ref="S1380" r:id="rId1522" xr:uid="{00000000-0004-0000-0200-0000F1050000}"/>
    <hyperlink ref="G1382" r:id="rId1523" xr:uid="{00000000-0004-0000-0200-0000F2050000}"/>
    <hyperlink ref="S1382" r:id="rId1524" xr:uid="{00000000-0004-0000-0200-0000F3050000}"/>
    <hyperlink ref="F1383" r:id="rId1525" xr:uid="{00000000-0004-0000-0200-0000F4050000}"/>
    <hyperlink ref="S1386" r:id="rId1526" xr:uid="{00000000-0004-0000-0200-0000F5050000}"/>
    <hyperlink ref="F1388" r:id="rId1527" xr:uid="{00000000-0004-0000-0200-0000F6050000}"/>
    <hyperlink ref="S1389" r:id="rId1528" xr:uid="{00000000-0004-0000-0200-0000F7050000}"/>
    <hyperlink ref="G1390" r:id="rId1529" xr:uid="{00000000-0004-0000-0200-0000F8050000}"/>
    <hyperlink ref="F1391" r:id="rId1530" xr:uid="{00000000-0004-0000-0200-0000F9050000}"/>
    <hyperlink ref="F1392" r:id="rId1531" xr:uid="{00000000-0004-0000-0200-0000FA050000}"/>
    <hyperlink ref="G1392" r:id="rId1532" xr:uid="{00000000-0004-0000-0200-0000FB050000}"/>
    <hyperlink ref="F1393" r:id="rId1533" xr:uid="{00000000-0004-0000-0200-0000FC050000}"/>
    <hyperlink ref="S1393" r:id="rId1534" xr:uid="{00000000-0004-0000-0200-0000FD050000}"/>
    <hyperlink ref="F1394" r:id="rId1535" xr:uid="{00000000-0004-0000-0200-0000FE050000}"/>
    <hyperlink ref="S1394" r:id="rId1536" xr:uid="{00000000-0004-0000-0200-0000FF050000}"/>
    <hyperlink ref="G1395" r:id="rId1537" xr:uid="{00000000-0004-0000-0200-000000060000}"/>
    <hyperlink ref="F1396" r:id="rId1538" xr:uid="{00000000-0004-0000-0200-000001060000}"/>
    <hyperlink ref="S1396" r:id="rId1539" xr:uid="{00000000-0004-0000-0200-000002060000}"/>
    <hyperlink ref="S1397" r:id="rId1540" xr:uid="{00000000-0004-0000-0200-000003060000}"/>
    <hyperlink ref="S1398" r:id="rId1541" xr:uid="{00000000-0004-0000-0200-000004060000}"/>
    <hyperlink ref="S1399" r:id="rId1542" xr:uid="{00000000-0004-0000-0200-000005060000}"/>
    <hyperlink ref="S1400" r:id="rId1543" xr:uid="{00000000-0004-0000-0200-000006060000}"/>
    <hyperlink ref="G1401" r:id="rId1544" xr:uid="{00000000-0004-0000-0200-000007060000}"/>
    <hyperlink ref="S1401" r:id="rId1545" xr:uid="{00000000-0004-0000-0200-000008060000}"/>
    <hyperlink ref="S1402" r:id="rId1546" xr:uid="{00000000-0004-0000-0200-000009060000}"/>
    <hyperlink ref="G1403" r:id="rId1547" xr:uid="{00000000-0004-0000-0200-00000A060000}"/>
    <hyperlink ref="F1404" r:id="rId1548" xr:uid="{00000000-0004-0000-0200-00000B060000}"/>
    <hyperlink ref="F1406" r:id="rId1549" xr:uid="{00000000-0004-0000-0200-00000C060000}"/>
    <hyperlink ref="S1406" r:id="rId1550" xr:uid="{00000000-0004-0000-0200-00000D060000}"/>
    <hyperlink ref="F1407" r:id="rId1551" xr:uid="{00000000-0004-0000-0200-00000E060000}"/>
    <hyperlink ref="G1407" r:id="rId1552" xr:uid="{00000000-0004-0000-0200-00000F060000}"/>
    <hyperlink ref="F1410" r:id="rId1553" xr:uid="{00000000-0004-0000-0200-000010060000}"/>
    <hyperlink ref="G1410" r:id="rId1554" xr:uid="{00000000-0004-0000-0200-000011060000}"/>
    <hyperlink ref="S1410" r:id="rId1555" xr:uid="{00000000-0004-0000-0200-000012060000}"/>
    <hyperlink ref="G1411" r:id="rId1556" xr:uid="{00000000-0004-0000-0200-000013060000}"/>
    <hyperlink ref="F1412" r:id="rId1557" xr:uid="{00000000-0004-0000-0200-000014060000}"/>
    <hyperlink ref="G1412" r:id="rId1558" xr:uid="{00000000-0004-0000-0200-000015060000}"/>
    <hyperlink ref="S1412" r:id="rId1559" xr:uid="{00000000-0004-0000-0200-000016060000}"/>
    <hyperlink ref="G1413" r:id="rId1560" xr:uid="{00000000-0004-0000-0200-000017060000}"/>
    <hyperlink ref="S1415" r:id="rId1561" xr:uid="{00000000-0004-0000-0200-000018060000}"/>
    <hyperlink ref="F1416" r:id="rId1562" xr:uid="{00000000-0004-0000-0200-000019060000}"/>
    <hyperlink ref="G1417" r:id="rId1563" xr:uid="{00000000-0004-0000-0200-00001A060000}"/>
    <hyperlink ref="S1417" r:id="rId1564" xr:uid="{00000000-0004-0000-0200-00001B060000}"/>
    <hyperlink ref="F1419" r:id="rId1565" xr:uid="{00000000-0004-0000-0200-00001C060000}"/>
    <hyperlink ref="G1419" r:id="rId1566" xr:uid="{00000000-0004-0000-0200-00001D060000}"/>
    <hyperlink ref="S1419" r:id="rId1567" xr:uid="{00000000-0004-0000-0200-00001E060000}"/>
    <hyperlink ref="F1422" r:id="rId1568" xr:uid="{00000000-0004-0000-0200-00001F060000}"/>
    <hyperlink ref="G1422" r:id="rId1569" xr:uid="{00000000-0004-0000-0200-000020060000}"/>
    <hyperlink ref="G1423" r:id="rId1570" xr:uid="{00000000-0004-0000-0200-000021060000}"/>
    <hyperlink ref="S1423" r:id="rId1571" xr:uid="{00000000-0004-0000-0200-000022060000}"/>
    <hyperlink ref="G1424" r:id="rId1572" xr:uid="{00000000-0004-0000-0200-000023060000}"/>
    <hyperlink ref="S1424" r:id="rId1573" xr:uid="{00000000-0004-0000-0200-000024060000}"/>
    <hyperlink ref="F1425" r:id="rId1574" xr:uid="{00000000-0004-0000-0200-000025060000}"/>
    <hyperlink ref="S1425" r:id="rId1575" xr:uid="{00000000-0004-0000-0200-000026060000}"/>
    <hyperlink ref="F1426" r:id="rId1576" xr:uid="{00000000-0004-0000-0200-000027060000}"/>
    <hyperlink ref="F1427" r:id="rId1577" xr:uid="{00000000-0004-0000-0200-000028060000}"/>
    <hyperlink ref="F1428" r:id="rId1578" xr:uid="{00000000-0004-0000-0200-000029060000}"/>
    <hyperlink ref="G1428" r:id="rId1579" xr:uid="{00000000-0004-0000-0200-00002A060000}"/>
    <hyperlink ref="S1428" r:id="rId1580" xr:uid="{00000000-0004-0000-0200-00002B060000}"/>
    <hyperlink ref="G1429" r:id="rId1581" xr:uid="{00000000-0004-0000-0200-00002C060000}"/>
    <hyperlink ref="S1429" r:id="rId1582" xr:uid="{00000000-0004-0000-0200-00002D060000}"/>
    <hyperlink ref="G1430" r:id="rId1583" xr:uid="{00000000-0004-0000-0200-00002E060000}"/>
    <hyperlink ref="S1430" r:id="rId1584" xr:uid="{00000000-0004-0000-0200-00002F060000}"/>
    <hyperlink ref="G1431" r:id="rId1585" xr:uid="{00000000-0004-0000-0200-000030060000}"/>
    <hyperlink ref="G1432" r:id="rId1586" xr:uid="{00000000-0004-0000-0200-000031060000}"/>
    <hyperlink ref="S1432" r:id="rId1587" xr:uid="{00000000-0004-0000-0200-000032060000}"/>
    <hyperlink ref="F1433" r:id="rId1588" xr:uid="{00000000-0004-0000-0200-000033060000}"/>
    <hyperlink ref="S1433" r:id="rId1589" xr:uid="{00000000-0004-0000-0200-000034060000}"/>
    <hyperlink ref="G1434" r:id="rId1590" xr:uid="{00000000-0004-0000-0200-000035060000}"/>
    <hyperlink ref="S1434" r:id="rId1591" xr:uid="{00000000-0004-0000-0200-000036060000}"/>
    <hyperlink ref="G1436" r:id="rId1592" xr:uid="{00000000-0004-0000-0200-000037060000}"/>
    <hyperlink ref="G1437" r:id="rId1593" xr:uid="{00000000-0004-0000-0200-000038060000}"/>
    <hyperlink ref="G1438" r:id="rId1594" xr:uid="{00000000-0004-0000-0200-000039060000}"/>
    <hyperlink ref="G1439" r:id="rId1595" xr:uid="{00000000-0004-0000-0200-00003A060000}"/>
    <hyperlink ref="S1439" r:id="rId1596" xr:uid="{00000000-0004-0000-0200-00003B060000}"/>
    <hyperlink ref="G1441" r:id="rId1597" xr:uid="{00000000-0004-0000-0200-00003C060000}"/>
    <hyperlink ref="S1441" r:id="rId1598" xr:uid="{00000000-0004-0000-0200-00003D060000}"/>
    <hyperlink ref="G1442" r:id="rId1599" xr:uid="{00000000-0004-0000-0200-00003E060000}"/>
    <hyperlink ref="S1442" r:id="rId1600" xr:uid="{00000000-0004-0000-0200-00003F060000}"/>
    <hyperlink ref="F1443" r:id="rId1601" location="!/rivera-que-verguenza-de-pais-la-justicia-denigrada-por-algunos-politicos" xr:uid="{00000000-0004-0000-0200-000040060000}"/>
    <hyperlink ref="S1443" r:id="rId1602" xr:uid="{00000000-0004-0000-0200-000041060000}"/>
    <hyperlink ref="F1444" r:id="rId1603" xr:uid="{00000000-0004-0000-0200-000042060000}"/>
    <hyperlink ref="F1446" r:id="rId1604" xr:uid="{00000000-0004-0000-0200-000043060000}"/>
    <hyperlink ref="G1446" r:id="rId1605" xr:uid="{00000000-0004-0000-0200-000044060000}"/>
    <hyperlink ref="G1447" r:id="rId1606" xr:uid="{00000000-0004-0000-0200-000045060000}"/>
    <hyperlink ref="S1447" r:id="rId1607" xr:uid="{00000000-0004-0000-0200-000046060000}"/>
    <hyperlink ref="S1448" r:id="rId1608" xr:uid="{00000000-0004-0000-0200-000047060000}"/>
    <hyperlink ref="G1449" r:id="rId1609" xr:uid="{00000000-0004-0000-0200-000048060000}"/>
    <hyperlink ref="S1449" r:id="rId1610" xr:uid="{00000000-0004-0000-0200-000049060000}"/>
    <hyperlink ref="C1450" r:id="rId1611" xr:uid="{00000000-0004-0000-0200-00004A060000}"/>
    <hyperlink ref="F1450" r:id="rId1612" xr:uid="{00000000-0004-0000-0200-00004B060000}"/>
    <hyperlink ref="S1450" r:id="rId1613" xr:uid="{00000000-0004-0000-0200-00004C060000}"/>
    <hyperlink ref="G1452" r:id="rId1614" xr:uid="{00000000-0004-0000-0200-00004D060000}"/>
    <hyperlink ref="S1455" r:id="rId1615" xr:uid="{00000000-0004-0000-0200-00004E060000}"/>
    <hyperlink ref="S1456" r:id="rId1616" xr:uid="{00000000-0004-0000-0200-00004F060000}"/>
    <hyperlink ref="G1457" r:id="rId1617" xr:uid="{00000000-0004-0000-0200-000050060000}"/>
    <hyperlink ref="F1458" r:id="rId1618" xr:uid="{00000000-0004-0000-0200-000051060000}"/>
    <hyperlink ref="S1458" r:id="rId1619" xr:uid="{00000000-0004-0000-0200-000052060000}"/>
    <hyperlink ref="G1459" r:id="rId1620" xr:uid="{00000000-0004-0000-0200-000053060000}"/>
    <hyperlink ref="S1459" r:id="rId1621" xr:uid="{00000000-0004-0000-0200-000054060000}"/>
    <hyperlink ref="S1460" r:id="rId1622" xr:uid="{00000000-0004-0000-0200-000055060000}"/>
    <hyperlink ref="F1461" r:id="rId1623" xr:uid="{00000000-0004-0000-0200-000056060000}"/>
    <hyperlink ref="G1461" r:id="rId1624" xr:uid="{00000000-0004-0000-0200-000057060000}"/>
    <hyperlink ref="S1461" r:id="rId1625" xr:uid="{00000000-0004-0000-0200-000058060000}"/>
    <hyperlink ref="G1462" r:id="rId1626" xr:uid="{00000000-0004-0000-0200-000059060000}"/>
    <hyperlink ref="G1464" r:id="rId1627" xr:uid="{00000000-0004-0000-0200-00005A060000}"/>
    <hyperlink ref="S1464" r:id="rId1628" xr:uid="{00000000-0004-0000-0200-00005B060000}"/>
    <hyperlink ref="G1465" r:id="rId1629" xr:uid="{00000000-0004-0000-0200-00005C060000}"/>
    <hyperlink ref="G1466" r:id="rId1630" xr:uid="{00000000-0004-0000-0200-00005D060000}"/>
    <hyperlink ref="F1467" r:id="rId1631" xr:uid="{00000000-0004-0000-0200-00005E060000}"/>
    <hyperlink ref="S1469" r:id="rId1632" xr:uid="{00000000-0004-0000-0200-00005F060000}"/>
    <hyperlink ref="F1470" r:id="rId1633" xr:uid="{00000000-0004-0000-0200-000060060000}"/>
    <hyperlink ref="G1471" r:id="rId1634" xr:uid="{00000000-0004-0000-0200-000061060000}"/>
    <hyperlink ref="G1472" r:id="rId1635" xr:uid="{00000000-0004-0000-0200-000062060000}"/>
    <hyperlink ref="F1474" r:id="rId1636" xr:uid="{00000000-0004-0000-0200-000063060000}"/>
    <hyperlink ref="G1474" r:id="rId1637" xr:uid="{00000000-0004-0000-0200-000064060000}"/>
    <hyperlink ref="S1474" r:id="rId1638" xr:uid="{00000000-0004-0000-0200-000065060000}"/>
    <hyperlink ref="F1476" r:id="rId1639" xr:uid="{00000000-0004-0000-0200-000066060000}"/>
    <hyperlink ref="S1477" r:id="rId1640" xr:uid="{00000000-0004-0000-0200-000067060000}"/>
    <hyperlink ref="G1478" r:id="rId1641" xr:uid="{00000000-0004-0000-0200-000068060000}"/>
    <hyperlink ref="F1479" r:id="rId1642" xr:uid="{00000000-0004-0000-0200-000069060000}"/>
    <hyperlink ref="S1479" r:id="rId1643" xr:uid="{00000000-0004-0000-0200-00006A060000}"/>
    <hyperlink ref="F1480" r:id="rId1644" xr:uid="{00000000-0004-0000-0200-00006B060000}"/>
    <hyperlink ref="S1480" r:id="rId1645" xr:uid="{00000000-0004-0000-0200-00006C060000}"/>
    <hyperlink ref="G1482" r:id="rId1646" xr:uid="{00000000-0004-0000-0200-00006D060000}"/>
    <hyperlink ref="F1483" r:id="rId1647" xr:uid="{00000000-0004-0000-0200-00006E060000}"/>
    <hyperlink ref="S1483" r:id="rId1648" xr:uid="{00000000-0004-0000-0200-00006F060000}"/>
    <hyperlink ref="G1484" r:id="rId1649" xr:uid="{00000000-0004-0000-0200-000070060000}"/>
    <hyperlink ref="G1485" r:id="rId1650" xr:uid="{00000000-0004-0000-0200-000071060000}"/>
    <hyperlink ref="S1485" r:id="rId1651" xr:uid="{00000000-0004-0000-0200-000072060000}"/>
    <hyperlink ref="F1486" r:id="rId1652" xr:uid="{00000000-0004-0000-0200-000073060000}"/>
    <hyperlink ref="G1487" r:id="rId1653" xr:uid="{00000000-0004-0000-0200-000074060000}"/>
    <hyperlink ref="F1488" r:id="rId1654" xr:uid="{00000000-0004-0000-0200-000075060000}"/>
    <hyperlink ref="S1488" r:id="rId1655" xr:uid="{00000000-0004-0000-0200-000076060000}"/>
    <hyperlink ref="F1489" r:id="rId1656" xr:uid="{00000000-0004-0000-0200-000077060000}"/>
    <hyperlink ref="S1490" r:id="rId1657" xr:uid="{00000000-0004-0000-0200-000078060000}"/>
    <hyperlink ref="F1491" r:id="rId1658" xr:uid="{00000000-0004-0000-0200-000079060000}"/>
    <hyperlink ref="F1493" r:id="rId1659" xr:uid="{00000000-0004-0000-0200-00007A060000}"/>
    <hyperlink ref="G1493" r:id="rId1660" xr:uid="{00000000-0004-0000-0200-00007B060000}"/>
    <hyperlink ref="S1493" r:id="rId1661" xr:uid="{00000000-0004-0000-0200-00007C060000}"/>
    <hyperlink ref="F1494" r:id="rId1662" xr:uid="{00000000-0004-0000-0200-00007D060000}"/>
    <hyperlink ref="S1494" r:id="rId1663" xr:uid="{00000000-0004-0000-0200-00007E060000}"/>
    <hyperlink ref="S1495" r:id="rId1664" xr:uid="{00000000-0004-0000-0200-00007F060000}"/>
    <hyperlink ref="G1496" r:id="rId1665" xr:uid="{00000000-0004-0000-0200-000080060000}"/>
    <hyperlink ref="G1498" r:id="rId1666" xr:uid="{00000000-0004-0000-0200-000081060000}"/>
    <hyperlink ref="G1499" r:id="rId1667" xr:uid="{00000000-0004-0000-0200-000082060000}"/>
    <hyperlink ref="S1500" r:id="rId1668" xr:uid="{00000000-0004-0000-0200-000083060000}"/>
    <hyperlink ref="F1501" r:id="rId1669" xr:uid="{00000000-0004-0000-0200-000084060000}"/>
    <hyperlink ref="G1501" r:id="rId1670" xr:uid="{00000000-0004-0000-0200-000085060000}"/>
    <hyperlink ref="S1501" r:id="rId1671" xr:uid="{00000000-0004-0000-0200-000086060000}"/>
    <hyperlink ref="G1503" r:id="rId1672" xr:uid="{00000000-0004-0000-0200-000087060000}"/>
    <hyperlink ref="F1504" r:id="rId1673" xr:uid="{00000000-0004-0000-0200-000088060000}"/>
    <hyperlink ref="S1504" r:id="rId1674" xr:uid="{00000000-0004-0000-0200-000089060000}"/>
    <hyperlink ref="S1506" r:id="rId1675" xr:uid="{00000000-0004-0000-0200-00008A060000}"/>
    <hyperlink ref="S1508" r:id="rId1676" xr:uid="{00000000-0004-0000-0200-00008B060000}"/>
    <hyperlink ref="S1509" r:id="rId1677" xr:uid="{00000000-0004-0000-0200-00008C060000}"/>
    <hyperlink ref="G1510" r:id="rId1678" xr:uid="{00000000-0004-0000-0200-00008D060000}"/>
    <hyperlink ref="F1511" r:id="rId1679" xr:uid="{00000000-0004-0000-0200-00008E060000}"/>
    <hyperlink ref="S1511" r:id="rId1680" xr:uid="{00000000-0004-0000-0200-00008F060000}"/>
    <hyperlink ref="F1513" r:id="rId1681" xr:uid="{00000000-0004-0000-0200-000090060000}"/>
    <hyperlink ref="G1513" r:id="rId1682" xr:uid="{00000000-0004-0000-0200-000091060000}"/>
    <hyperlink ref="F1514" r:id="rId1683" xr:uid="{00000000-0004-0000-0200-000092060000}"/>
    <hyperlink ref="F1515" r:id="rId1684" xr:uid="{00000000-0004-0000-0200-000093060000}"/>
    <hyperlink ref="G1515" r:id="rId1685" xr:uid="{00000000-0004-0000-0200-000094060000}"/>
    <hyperlink ref="F1516" r:id="rId1686" xr:uid="{00000000-0004-0000-0200-000095060000}"/>
    <hyperlink ref="G1517" r:id="rId1687" xr:uid="{00000000-0004-0000-0200-000096060000}"/>
    <hyperlink ref="F1519" r:id="rId1688" xr:uid="{00000000-0004-0000-0200-000097060000}"/>
    <hyperlink ref="S1519" r:id="rId1689" xr:uid="{00000000-0004-0000-0200-000098060000}"/>
    <hyperlink ref="F1522" r:id="rId1690" xr:uid="{00000000-0004-0000-0200-000099060000}"/>
    <hyperlink ref="G1522" r:id="rId1691" xr:uid="{00000000-0004-0000-0200-00009A060000}"/>
    <hyperlink ref="S1522" r:id="rId1692" xr:uid="{00000000-0004-0000-0200-00009B060000}"/>
    <hyperlink ref="S1523" r:id="rId1693" xr:uid="{00000000-0004-0000-0200-00009C060000}"/>
    <hyperlink ref="G1526" r:id="rId1694" xr:uid="{00000000-0004-0000-0200-00009D060000}"/>
    <hyperlink ref="S1526" r:id="rId1695" xr:uid="{00000000-0004-0000-0200-00009E060000}"/>
    <hyperlink ref="G1527" r:id="rId1696" xr:uid="{00000000-0004-0000-0200-00009F060000}"/>
    <hyperlink ref="S1527" r:id="rId1697" xr:uid="{00000000-0004-0000-0200-0000A0060000}"/>
    <hyperlink ref="G1531" r:id="rId1698" xr:uid="{00000000-0004-0000-0200-0000A1060000}"/>
    <hyperlink ref="F1533" r:id="rId1699" xr:uid="{00000000-0004-0000-0200-0000A2060000}"/>
    <hyperlink ref="F1536" r:id="rId1700" xr:uid="{00000000-0004-0000-0200-0000A3060000}"/>
    <hyperlink ref="F1538" r:id="rId1701" xr:uid="{00000000-0004-0000-0200-0000A4060000}"/>
    <hyperlink ref="G1538" r:id="rId1702" xr:uid="{00000000-0004-0000-0200-0000A5060000}"/>
    <hyperlink ref="F1539" r:id="rId1703" xr:uid="{00000000-0004-0000-0200-0000A6060000}"/>
    <hyperlink ref="S1539" r:id="rId1704" xr:uid="{00000000-0004-0000-0200-0000A7060000}"/>
    <hyperlink ref="F1540" r:id="rId1705" xr:uid="{00000000-0004-0000-0200-0000A8060000}"/>
    <hyperlink ref="G1541" r:id="rId1706" xr:uid="{00000000-0004-0000-0200-0000A9060000}"/>
    <hyperlink ref="S1541" r:id="rId1707" xr:uid="{00000000-0004-0000-0200-0000AA060000}"/>
    <hyperlink ref="S1542" r:id="rId1708" xr:uid="{00000000-0004-0000-0200-0000AB060000}"/>
    <hyperlink ref="S1545" r:id="rId1709" xr:uid="{00000000-0004-0000-0200-0000AC060000}"/>
    <hyperlink ref="S1546" r:id="rId1710" xr:uid="{00000000-0004-0000-0200-0000AD060000}"/>
    <hyperlink ref="F1547" r:id="rId1711" xr:uid="{00000000-0004-0000-0200-0000AE060000}"/>
    <hyperlink ref="S1547" r:id="rId1712" xr:uid="{00000000-0004-0000-0200-0000AF060000}"/>
    <hyperlink ref="S1548" r:id="rId1713" xr:uid="{00000000-0004-0000-0200-0000B0060000}"/>
    <hyperlink ref="S1550" r:id="rId1714" xr:uid="{00000000-0004-0000-0200-0000B1060000}"/>
    <hyperlink ref="G1551" r:id="rId1715" xr:uid="{00000000-0004-0000-0200-0000B2060000}"/>
    <hyperlink ref="G1552" r:id="rId1716" xr:uid="{00000000-0004-0000-0200-0000B3060000}"/>
    <hyperlink ref="S1552" r:id="rId1717" xr:uid="{00000000-0004-0000-0200-0000B4060000}"/>
    <hyperlink ref="G1555" r:id="rId1718" xr:uid="{00000000-0004-0000-0200-0000B5060000}"/>
    <hyperlink ref="F1557" r:id="rId1719" xr:uid="{00000000-0004-0000-0200-0000B6060000}"/>
    <hyperlink ref="G1557" r:id="rId1720" xr:uid="{00000000-0004-0000-0200-0000B7060000}"/>
    <hyperlink ref="S1557" r:id="rId1721" xr:uid="{00000000-0004-0000-0200-0000B8060000}"/>
    <hyperlink ref="S1558" r:id="rId1722" xr:uid="{00000000-0004-0000-0200-0000B9060000}"/>
    <hyperlink ref="S1561" r:id="rId1723" xr:uid="{00000000-0004-0000-0200-0000BA060000}"/>
    <hyperlink ref="F1564" r:id="rId1724" location="?ref=rss&amp;format=simple&amp;link=link" xr:uid="{00000000-0004-0000-0200-0000BB060000}"/>
    <hyperlink ref="S1564" r:id="rId1725" xr:uid="{00000000-0004-0000-0200-0000BC060000}"/>
    <hyperlink ref="S1565" r:id="rId1726" xr:uid="{00000000-0004-0000-0200-0000BD060000}"/>
    <hyperlink ref="S1566" r:id="rId1727" xr:uid="{00000000-0004-0000-0200-0000BE060000}"/>
    <hyperlink ref="F1567" r:id="rId1728" xr:uid="{00000000-0004-0000-0200-0000BF060000}"/>
    <hyperlink ref="S1569" r:id="rId1729" xr:uid="{00000000-0004-0000-0200-0000C0060000}"/>
    <hyperlink ref="S1570" r:id="rId1730" xr:uid="{00000000-0004-0000-0200-0000C1060000}"/>
    <hyperlink ref="S1572" r:id="rId1731" xr:uid="{00000000-0004-0000-0200-0000C2060000}"/>
    <hyperlink ref="S1573" r:id="rId1732" xr:uid="{00000000-0004-0000-0200-0000C3060000}"/>
    <hyperlink ref="S1574" r:id="rId1733" xr:uid="{00000000-0004-0000-0200-0000C4060000}"/>
    <hyperlink ref="S1577" r:id="rId1734" xr:uid="{00000000-0004-0000-0200-0000C5060000}"/>
    <hyperlink ref="F1579" r:id="rId1735" xr:uid="{00000000-0004-0000-0200-0000C6060000}"/>
    <hyperlink ref="S1579" r:id="rId1736" xr:uid="{00000000-0004-0000-0200-0000C7060000}"/>
    <hyperlink ref="F1580" r:id="rId1737" xr:uid="{00000000-0004-0000-0200-0000C8060000}"/>
    <hyperlink ref="G1580" r:id="rId1738" xr:uid="{00000000-0004-0000-0200-0000C9060000}"/>
    <hyperlink ref="S1580" r:id="rId1739" xr:uid="{00000000-0004-0000-0200-0000CA060000}"/>
    <hyperlink ref="G1582" r:id="rId1740" xr:uid="{00000000-0004-0000-0200-0000CB060000}"/>
    <hyperlink ref="S1583" r:id="rId1741" xr:uid="{00000000-0004-0000-0200-0000CC060000}"/>
    <hyperlink ref="S1584" r:id="rId1742" xr:uid="{00000000-0004-0000-0200-0000CD060000}"/>
    <hyperlink ref="S1586" r:id="rId1743" xr:uid="{00000000-0004-0000-0200-0000CE060000}"/>
    <hyperlink ref="S1587" r:id="rId1744" xr:uid="{00000000-0004-0000-0200-0000CF060000}"/>
    <hyperlink ref="S1588" r:id="rId1745" xr:uid="{00000000-0004-0000-0200-0000D0060000}"/>
    <hyperlink ref="S1591" r:id="rId1746" xr:uid="{00000000-0004-0000-0200-0000D1060000}"/>
    <hyperlink ref="F1592" r:id="rId1747" xr:uid="{00000000-0004-0000-0200-0000D2060000}"/>
    <hyperlink ref="G1592" r:id="rId1748" xr:uid="{00000000-0004-0000-0200-0000D3060000}"/>
    <hyperlink ref="S1593" r:id="rId1749" xr:uid="{00000000-0004-0000-0200-0000D4060000}"/>
    <hyperlink ref="F1597" r:id="rId1750" xr:uid="{00000000-0004-0000-0200-0000D5060000}"/>
    <hyperlink ref="G1597" r:id="rId1751" xr:uid="{00000000-0004-0000-0200-0000D6060000}"/>
    <hyperlink ref="S1597" r:id="rId1752" xr:uid="{00000000-0004-0000-0200-0000D7060000}"/>
    <hyperlink ref="S1600" r:id="rId1753" xr:uid="{00000000-0004-0000-0200-0000D8060000}"/>
    <hyperlink ref="F1601" r:id="rId1754" xr:uid="{00000000-0004-0000-0200-0000D9060000}"/>
    <hyperlink ref="G1601" r:id="rId1755" xr:uid="{00000000-0004-0000-0200-0000DA060000}"/>
    <hyperlink ref="S1601" r:id="rId1756" xr:uid="{00000000-0004-0000-0200-0000DB060000}"/>
    <hyperlink ref="G1603" r:id="rId1757" xr:uid="{00000000-0004-0000-0200-0000DC060000}"/>
    <hyperlink ref="F1606" r:id="rId1758" xr:uid="{00000000-0004-0000-0200-0000DD060000}"/>
    <hyperlink ref="G1606" r:id="rId1759" xr:uid="{00000000-0004-0000-0200-0000DE060000}"/>
    <hyperlink ref="S1606" r:id="rId1760" xr:uid="{00000000-0004-0000-0200-0000DF060000}"/>
    <hyperlink ref="F1607" r:id="rId1761" xr:uid="{00000000-0004-0000-0200-0000E0060000}"/>
    <hyperlink ref="G1607" r:id="rId1762" xr:uid="{00000000-0004-0000-0200-0000E1060000}"/>
    <hyperlink ref="F1608" r:id="rId1763" xr:uid="{00000000-0004-0000-0200-0000E2060000}"/>
    <hyperlink ref="G1608" r:id="rId1764" xr:uid="{00000000-0004-0000-0200-0000E3060000}"/>
    <hyperlink ref="S1608" r:id="rId1765" xr:uid="{00000000-0004-0000-0200-0000E4060000}"/>
    <hyperlink ref="F1610" r:id="rId1766" xr:uid="{00000000-0004-0000-0200-0000E5060000}"/>
    <hyperlink ref="G1610" r:id="rId1767" xr:uid="{00000000-0004-0000-0200-0000E6060000}"/>
    <hyperlink ref="S1610" r:id="rId1768" xr:uid="{00000000-0004-0000-0200-0000E7060000}"/>
    <hyperlink ref="F1611" r:id="rId1769" xr:uid="{00000000-0004-0000-0200-0000E8060000}"/>
    <hyperlink ref="S1611" r:id="rId1770" xr:uid="{00000000-0004-0000-0200-0000E9060000}"/>
    <hyperlink ref="F1612" r:id="rId1771" xr:uid="{00000000-0004-0000-0200-0000EA060000}"/>
    <hyperlink ref="S1612" r:id="rId1772" xr:uid="{00000000-0004-0000-0200-0000EB060000}"/>
    <hyperlink ref="F1614" r:id="rId1773" xr:uid="{00000000-0004-0000-0200-0000EC060000}"/>
    <hyperlink ref="S1614" r:id="rId1774" xr:uid="{00000000-0004-0000-0200-0000ED060000}"/>
    <hyperlink ref="F1615" r:id="rId1775" xr:uid="{00000000-0004-0000-0200-0000EE060000}"/>
    <hyperlink ref="G1619" r:id="rId1776" xr:uid="{00000000-0004-0000-0200-0000EF060000}"/>
    <hyperlink ref="F1620" r:id="rId1777" xr:uid="{00000000-0004-0000-0200-0000F0060000}"/>
    <hyperlink ref="G1620" r:id="rId1778" xr:uid="{00000000-0004-0000-0200-0000F1060000}"/>
    <hyperlink ref="S1620" r:id="rId1779" xr:uid="{00000000-0004-0000-0200-0000F2060000}"/>
    <hyperlink ref="F1621" r:id="rId1780" xr:uid="{00000000-0004-0000-0200-0000F3060000}"/>
    <hyperlink ref="G1622" r:id="rId1781" xr:uid="{00000000-0004-0000-0200-0000F4060000}"/>
    <hyperlink ref="S1622" r:id="rId1782" xr:uid="{00000000-0004-0000-0200-0000F5060000}"/>
    <hyperlink ref="S1624" r:id="rId1783" xr:uid="{00000000-0004-0000-0200-0000F6060000}"/>
    <hyperlink ref="S1625" r:id="rId1784" xr:uid="{00000000-0004-0000-0200-0000F7060000}"/>
    <hyperlink ref="G1626" r:id="rId1785" xr:uid="{00000000-0004-0000-0200-0000F8060000}"/>
    <hyperlink ref="S1627" r:id="rId1786" xr:uid="{00000000-0004-0000-0200-0000F9060000}"/>
    <hyperlink ref="F1628" r:id="rId1787" xr:uid="{00000000-0004-0000-0200-0000FA060000}"/>
    <hyperlink ref="S1628" r:id="rId1788" xr:uid="{00000000-0004-0000-0200-0000FB060000}"/>
    <hyperlink ref="F1629" r:id="rId1789" xr:uid="{00000000-0004-0000-0200-0000FC060000}"/>
    <hyperlink ref="F1630" r:id="rId1790" xr:uid="{00000000-0004-0000-0200-0000FD060000}"/>
    <hyperlink ref="S1630" r:id="rId1791" xr:uid="{00000000-0004-0000-0200-0000FE060000}"/>
    <hyperlink ref="F1633" r:id="rId1792" location="linkcomments?utm_campaign=botones_sociales&amp;utm_source=twitter&amp;utm_medium=social" xr:uid="{00000000-0004-0000-0200-0000FF060000}"/>
    <hyperlink ref="F1634" r:id="rId1793" xr:uid="{00000000-0004-0000-0200-000000070000}"/>
    <hyperlink ref="G1634" r:id="rId1794" xr:uid="{00000000-0004-0000-0200-000001070000}"/>
    <hyperlink ref="F1637" r:id="rId1795" xr:uid="{00000000-0004-0000-0200-000002070000}"/>
    <hyperlink ref="F1638" r:id="rId1796" xr:uid="{00000000-0004-0000-0200-000003070000}"/>
    <hyperlink ref="S1640" r:id="rId1797" xr:uid="{00000000-0004-0000-0200-000004070000}"/>
    <hyperlink ref="S1641" r:id="rId1798" xr:uid="{00000000-0004-0000-0200-000005070000}"/>
    <hyperlink ref="F1642" r:id="rId1799" xr:uid="{00000000-0004-0000-0200-000006070000}"/>
    <hyperlink ref="S1643" r:id="rId1800" xr:uid="{00000000-0004-0000-0200-000007070000}"/>
    <hyperlink ref="S1644" r:id="rId1801" xr:uid="{00000000-0004-0000-0200-000008070000}"/>
    <hyperlink ref="S1647" r:id="rId1802" xr:uid="{00000000-0004-0000-0200-000009070000}"/>
    <hyperlink ref="S1648" r:id="rId1803" xr:uid="{00000000-0004-0000-0200-00000A070000}"/>
    <hyperlink ref="F1649" r:id="rId1804" xr:uid="{00000000-0004-0000-0200-00000B070000}"/>
    <hyperlink ref="S1650" r:id="rId1805" xr:uid="{00000000-0004-0000-0200-00000C070000}"/>
    <hyperlink ref="S1651" r:id="rId1806" xr:uid="{00000000-0004-0000-0200-00000D070000}"/>
    <hyperlink ref="S1653" r:id="rId1807" xr:uid="{00000000-0004-0000-0200-00000E070000}"/>
    <hyperlink ref="S1654" r:id="rId1808" xr:uid="{00000000-0004-0000-0200-00000F070000}"/>
    <hyperlink ref="F1655" r:id="rId1809" xr:uid="{00000000-0004-0000-0200-000010070000}"/>
    <hyperlink ref="S1655" r:id="rId1810" xr:uid="{00000000-0004-0000-0200-000011070000}"/>
    <hyperlink ref="G1656" r:id="rId1811" xr:uid="{00000000-0004-0000-0200-000012070000}"/>
    <hyperlink ref="S1656" r:id="rId1812" xr:uid="{00000000-0004-0000-0200-000013070000}"/>
    <hyperlink ref="F1657" r:id="rId1813" xr:uid="{00000000-0004-0000-0200-000014070000}"/>
    <hyperlink ref="S1657" r:id="rId1814" xr:uid="{00000000-0004-0000-0200-000015070000}"/>
    <hyperlink ref="F1658" r:id="rId1815" xr:uid="{00000000-0004-0000-0200-000016070000}"/>
    <hyperlink ref="G1658" r:id="rId1816" xr:uid="{00000000-0004-0000-0200-000017070000}"/>
    <hyperlink ref="F1659" r:id="rId1817" xr:uid="{00000000-0004-0000-0200-000018070000}"/>
    <hyperlink ref="S1659" r:id="rId1818" xr:uid="{00000000-0004-0000-0200-000019070000}"/>
    <hyperlink ref="F1660" r:id="rId1819" xr:uid="{00000000-0004-0000-0200-00001A070000}"/>
    <hyperlink ref="G1660" r:id="rId1820" xr:uid="{00000000-0004-0000-0200-00001B070000}"/>
    <hyperlink ref="S1660" r:id="rId1821" xr:uid="{00000000-0004-0000-0200-00001C070000}"/>
    <hyperlink ref="F1661" r:id="rId1822" xr:uid="{00000000-0004-0000-0200-00001D070000}"/>
    <hyperlink ref="F1662" r:id="rId1823" xr:uid="{00000000-0004-0000-0200-00001E070000}"/>
    <hyperlink ref="F1663" r:id="rId1824" xr:uid="{00000000-0004-0000-0200-00001F070000}"/>
    <hyperlink ref="S1664" r:id="rId1825" xr:uid="{00000000-0004-0000-0200-000020070000}"/>
    <hyperlink ref="S1665" r:id="rId1826" xr:uid="{00000000-0004-0000-0200-000021070000}"/>
    <hyperlink ref="F1666" r:id="rId1827" xr:uid="{00000000-0004-0000-0200-000022070000}"/>
    <hyperlink ref="S1666" r:id="rId1828" xr:uid="{00000000-0004-0000-0200-000023070000}"/>
    <hyperlink ref="F1667" r:id="rId1829" xr:uid="{00000000-0004-0000-0200-000024070000}"/>
    <hyperlink ref="S1667" r:id="rId1830" xr:uid="{00000000-0004-0000-0200-000025070000}"/>
    <hyperlink ref="F1669" r:id="rId1831" xr:uid="{00000000-0004-0000-0200-000026070000}"/>
    <hyperlink ref="S1669" r:id="rId1832" xr:uid="{00000000-0004-0000-0200-000027070000}"/>
    <hyperlink ref="F1670" r:id="rId1833" xr:uid="{00000000-0004-0000-0200-000028070000}"/>
    <hyperlink ref="F1671" r:id="rId1834" xr:uid="{00000000-0004-0000-0200-000029070000}"/>
    <hyperlink ref="S1671" r:id="rId1835" xr:uid="{00000000-0004-0000-0200-00002A070000}"/>
    <hyperlink ref="F1673" r:id="rId1836" xr:uid="{00000000-0004-0000-0200-00002B070000}"/>
    <hyperlink ref="S1673" r:id="rId1837" xr:uid="{00000000-0004-0000-0200-00002C070000}"/>
    <hyperlink ref="S1674" r:id="rId1838" xr:uid="{00000000-0004-0000-0200-00002D070000}"/>
    <hyperlink ref="F1675" r:id="rId1839" xr:uid="{00000000-0004-0000-0200-00002E070000}"/>
    <hyperlink ref="F1676" r:id="rId1840" xr:uid="{00000000-0004-0000-0200-00002F070000}"/>
    <hyperlink ref="S1677" r:id="rId1841" xr:uid="{00000000-0004-0000-0200-000030070000}"/>
    <hyperlink ref="S1678" r:id="rId1842" xr:uid="{00000000-0004-0000-0200-000031070000}"/>
    <hyperlink ref="G1679" r:id="rId1843" xr:uid="{00000000-0004-0000-0200-000032070000}"/>
    <hyperlink ref="F1680" r:id="rId1844" xr:uid="{00000000-0004-0000-0200-000033070000}"/>
    <hyperlink ref="G1680" r:id="rId1845" xr:uid="{00000000-0004-0000-0200-000034070000}"/>
    <hyperlink ref="G1681" r:id="rId1846" xr:uid="{00000000-0004-0000-0200-000035070000}"/>
    <hyperlink ref="S1681" r:id="rId1847" xr:uid="{00000000-0004-0000-0200-000036070000}"/>
    <hyperlink ref="G1682" r:id="rId1848" xr:uid="{00000000-0004-0000-0200-000037070000}"/>
    <hyperlink ref="G1683" r:id="rId1849" xr:uid="{00000000-0004-0000-0200-000038070000}"/>
    <hyperlink ref="S1684" r:id="rId1850" xr:uid="{00000000-0004-0000-0200-000039070000}"/>
    <hyperlink ref="F1685" r:id="rId1851" xr:uid="{00000000-0004-0000-0200-00003A070000}"/>
    <hyperlink ref="G1685" r:id="rId1852" xr:uid="{00000000-0004-0000-0200-00003B070000}"/>
    <hyperlink ref="F1686" r:id="rId1853" xr:uid="{00000000-0004-0000-0200-00003C070000}"/>
    <hyperlink ref="G1686" r:id="rId1854" xr:uid="{00000000-0004-0000-0200-00003D070000}"/>
    <hyperlink ref="F1687" r:id="rId1855" xr:uid="{00000000-0004-0000-0200-00003E070000}"/>
    <hyperlink ref="G1688" r:id="rId1856" xr:uid="{00000000-0004-0000-0200-00003F070000}"/>
    <hyperlink ref="G1689" r:id="rId1857" xr:uid="{00000000-0004-0000-0200-000040070000}"/>
    <hyperlink ref="F1690" r:id="rId1858" xr:uid="{00000000-0004-0000-0200-000041070000}"/>
    <hyperlink ref="G1692" r:id="rId1859" xr:uid="{00000000-0004-0000-0200-000042070000}"/>
    <hyperlink ref="S1692" r:id="rId1860" xr:uid="{00000000-0004-0000-0200-000043070000}"/>
    <hyperlink ref="G1693" r:id="rId1861" xr:uid="{00000000-0004-0000-0200-000044070000}"/>
    <hyperlink ref="F1694" r:id="rId1862" xr:uid="{00000000-0004-0000-0200-000045070000}"/>
    <hyperlink ref="S1694" r:id="rId1863" xr:uid="{00000000-0004-0000-0200-000046070000}"/>
    <hyperlink ref="G1695" r:id="rId1864" xr:uid="{00000000-0004-0000-0200-000047070000}"/>
    <hyperlink ref="F1696" r:id="rId1865" xr:uid="{00000000-0004-0000-0200-000048070000}"/>
    <hyperlink ref="G1697" r:id="rId1866" xr:uid="{00000000-0004-0000-0200-000049070000}"/>
    <hyperlink ref="S1698" r:id="rId1867" xr:uid="{00000000-0004-0000-0200-00004A070000}"/>
    <hyperlink ref="S1699" r:id="rId1868" xr:uid="{00000000-0004-0000-0200-00004B070000}"/>
    <hyperlink ref="F1700" r:id="rId1869" xr:uid="{00000000-0004-0000-0200-00004C070000}"/>
    <hyperlink ref="F1701" r:id="rId1870" location=".W_SQFjwtqys.twitter" xr:uid="{00000000-0004-0000-0200-00004D070000}"/>
    <hyperlink ref="S1701" r:id="rId1871" xr:uid="{00000000-0004-0000-0200-00004E070000}"/>
    <hyperlink ref="F1702" r:id="rId1872" xr:uid="{00000000-0004-0000-0200-00004F070000}"/>
    <hyperlink ref="F1703" r:id="rId1873" xr:uid="{00000000-0004-0000-0200-000050070000}"/>
    <hyperlink ref="S1703" r:id="rId1874" xr:uid="{00000000-0004-0000-0200-000051070000}"/>
    <hyperlink ref="G1704" r:id="rId1875" xr:uid="{00000000-0004-0000-0200-000052070000}"/>
    <hyperlink ref="F1705" r:id="rId1876" xr:uid="{00000000-0004-0000-0200-000053070000}"/>
    <hyperlink ref="F1706" r:id="rId1877" xr:uid="{00000000-0004-0000-0200-000054070000}"/>
    <hyperlink ref="F1707" r:id="rId1878" xr:uid="{00000000-0004-0000-0200-000055070000}"/>
    <hyperlink ref="S1708" r:id="rId1879" xr:uid="{00000000-0004-0000-0200-000056070000}"/>
    <hyperlink ref="F1709" r:id="rId1880" xr:uid="{00000000-0004-0000-0200-000057070000}"/>
    <hyperlink ref="F1711" r:id="rId1881" xr:uid="{00000000-0004-0000-0200-000058070000}"/>
    <hyperlink ref="G1711" r:id="rId1882" xr:uid="{00000000-0004-0000-0200-000059070000}"/>
    <hyperlink ref="F1713" r:id="rId1883" xr:uid="{00000000-0004-0000-0200-00005A070000}"/>
    <hyperlink ref="F1714" r:id="rId1884" location=".W_SKuhUjvTA.twitter" xr:uid="{00000000-0004-0000-0200-00005B070000}"/>
    <hyperlink ref="S1714" r:id="rId1885" xr:uid="{00000000-0004-0000-0200-00005C070000}"/>
    <hyperlink ref="F1715" r:id="rId1886" xr:uid="{00000000-0004-0000-0200-00005D070000}"/>
    <hyperlink ref="G1717" r:id="rId1887" xr:uid="{00000000-0004-0000-0200-00005E070000}"/>
    <hyperlink ref="S1718" r:id="rId1888" xr:uid="{00000000-0004-0000-0200-00005F070000}"/>
    <hyperlink ref="F1719" r:id="rId1889" xr:uid="{00000000-0004-0000-0200-000060070000}"/>
    <hyperlink ref="F1720" r:id="rId1890" xr:uid="{00000000-0004-0000-0200-000061070000}"/>
    <hyperlink ref="G1721" r:id="rId1891" xr:uid="{00000000-0004-0000-0200-000062070000}"/>
    <hyperlink ref="S1721" r:id="rId1892" xr:uid="{00000000-0004-0000-0200-000063070000}"/>
    <hyperlink ref="S1722" r:id="rId1893" xr:uid="{00000000-0004-0000-0200-000064070000}"/>
    <hyperlink ref="F1723" r:id="rId1894" xr:uid="{00000000-0004-0000-0200-000065070000}"/>
    <hyperlink ref="F1724" r:id="rId1895" xr:uid="{00000000-0004-0000-0200-000066070000}"/>
    <hyperlink ref="S1724" r:id="rId1896" xr:uid="{00000000-0004-0000-0200-000067070000}"/>
    <hyperlink ref="S1725" r:id="rId1897" xr:uid="{00000000-0004-0000-0200-000068070000}"/>
    <hyperlink ref="G1726" r:id="rId1898" xr:uid="{00000000-0004-0000-0200-000069070000}"/>
    <hyperlink ref="S1726" r:id="rId1899" xr:uid="{00000000-0004-0000-0200-00006A070000}"/>
    <hyperlink ref="F1727" r:id="rId1900" xr:uid="{00000000-0004-0000-0200-00006B070000}"/>
    <hyperlink ref="F1729" r:id="rId1901" xr:uid="{00000000-0004-0000-0200-00006C070000}"/>
    <hyperlink ref="S1729" r:id="rId1902" xr:uid="{00000000-0004-0000-0200-00006D070000}"/>
    <hyperlink ref="F1730" r:id="rId1903" xr:uid="{00000000-0004-0000-0200-00006E070000}"/>
    <hyperlink ref="F1731" r:id="rId1904" xr:uid="{00000000-0004-0000-0200-00006F070000}"/>
    <hyperlink ref="F1732" r:id="rId1905" xr:uid="{00000000-0004-0000-0200-000070070000}"/>
    <hyperlink ref="S1732" r:id="rId1906" xr:uid="{00000000-0004-0000-0200-000071070000}"/>
    <hyperlink ref="F1733" r:id="rId1907" xr:uid="{00000000-0004-0000-0200-000072070000}"/>
    <hyperlink ref="F1734" r:id="rId1908" xr:uid="{00000000-0004-0000-0200-000073070000}"/>
    <hyperlink ref="F1736" r:id="rId1909" xr:uid="{00000000-0004-0000-0200-000074070000}"/>
    <hyperlink ref="S1736" r:id="rId1910" xr:uid="{00000000-0004-0000-0200-000075070000}"/>
    <hyperlink ref="G1737" r:id="rId1911" xr:uid="{00000000-0004-0000-0200-000076070000}"/>
    <hyperlink ref="G1738" r:id="rId1912" xr:uid="{00000000-0004-0000-0200-000077070000}"/>
    <hyperlink ref="S1738" r:id="rId1913" xr:uid="{00000000-0004-0000-0200-000078070000}"/>
    <hyperlink ref="S1739" r:id="rId1914" xr:uid="{00000000-0004-0000-0200-000079070000}"/>
    <hyperlink ref="S1740" r:id="rId1915" xr:uid="{00000000-0004-0000-0200-00007A070000}"/>
    <hyperlink ref="F1741" r:id="rId1916" xr:uid="{00000000-0004-0000-0200-00007B070000}"/>
    <hyperlink ref="G1741" r:id="rId1917" xr:uid="{00000000-0004-0000-0200-00007C070000}"/>
    <hyperlink ref="S1741" r:id="rId1918" xr:uid="{00000000-0004-0000-0200-00007D070000}"/>
    <hyperlink ref="F1742" r:id="rId1919" xr:uid="{00000000-0004-0000-0200-00007E070000}"/>
    <hyperlink ref="G1742" r:id="rId1920" xr:uid="{00000000-0004-0000-0200-00007F070000}"/>
    <hyperlink ref="F1745" r:id="rId1921" xr:uid="{00000000-0004-0000-0200-000080070000}"/>
    <hyperlink ref="S1745" r:id="rId1922" xr:uid="{00000000-0004-0000-0200-000081070000}"/>
    <hyperlink ref="F1746" r:id="rId1923" xr:uid="{00000000-0004-0000-0200-000082070000}"/>
    <hyperlink ref="S1746" r:id="rId1924" xr:uid="{00000000-0004-0000-0200-000083070000}"/>
    <hyperlink ref="F1747" r:id="rId1925" xr:uid="{00000000-0004-0000-0200-000084070000}"/>
    <hyperlink ref="S1747" r:id="rId1926" xr:uid="{00000000-0004-0000-0200-000085070000}"/>
    <hyperlink ref="G1748" r:id="rId1927" xr:uid="{00000000-0004-0000-0200-000086070000}"/>
    <hyperlink ref="F1749" r:id="rId1928" xr:uid="{00000000-0004-0000-0200-000087070000}"/>
    <hyperlink ref="S1749" r:id="rId1929" xr:uid="{00000000-0004-0000-0200-000088070000}"/>
    <hyperlink ref="F1750" r:id="rId1930" xr:uid="{00000000-0004-0000-0200-000089070000}"/>
    <hyperlink ref="G1750" r:id="rId1931" xr:uid="{00000000-0004-0000-0200-00008A070000}"/>
    <hyperlink ref="S1750" r:id="rId1932" xr:uid="{00000000-0004-0000-0200-00008B070000}"/>
    <hyperlink ref="F1751" r:id="rId1933" xr:uid="{00000000-0004-0000-0200-00008C070000}"/>
    <hyperlink ref="F1752" r:id="rId1934" xr:uid="{00000000-0004-0000-0200-00008D070000}"/>
    <hyperlink ref="F1753" r:id="rId1935" xr:uid="{00000000-0004-0000-0200-00008E070000}"/>
    <hyperlink ref="F1754" r:id="rId1936" xr:uid="{00000000-0004-0000-0200-00008F070000}"/>
    <hyperlink ref="G1754" r:id="rId1937" xr:uid="{00000000-0004-0000-0200-000090070000}"/>
    <hyperlink ref="F1755" r:id="rId1938" xr:uid="{00000000-0004-0000-0200-000091070000}"/>
    <hyperlink ref="G1755" r:id="rId1939" xr:uid="{00000000-0004-0000-0200-000092070000}"/>
    <hyperlink ref="S1756" r:id="rId1940" xr:uid="{00000000-0004-0000-0200-000093070000}"/>
    <hyperlink ref="F1757" r:id="rId1941" xr:uid="{00000000-0004-0000-0200-000094070000}"/>
    <hyperlink ref="S1757" r:id="rId1942" xr:uid="{00000000-0004-0000-0200-000095070000}"/>
    <hyperlink ref="F1758" r:id="rId1943" xr:uid="{00000000-0004-0000-0200-000096070000}"/>
    <hyperlink ref="G1758" r:id="rId1944" xr:uid="{00000000-0004-0000-0200-000097070000}"/>
    <hyperlink ref="F1759" r:id="rId1945" xr:uid="{00000000-0004-0000-0200-000098070000}"/>
    <hyperlink ref="G1759" r:id="rId1946" xr:uid="{00000000-0004-0000-0200-000099070000}"/>
    <hyperlink ref="S1759" r:id="rId1947" xr:uid="{00000000-0004-0000-0200-00009A070000}"/>
    <hyperlink ref="F1760" r:id="rId1948" xr:uid="{00000000-0004-0000-0200-00009B070000}"/>
    <hyperlink ref="G1761" r:id="rId1949" xr:uid="{00000000-0004-0000-0200-00009C070000}"/>
    <hyperlink ref="S1761" r:id="rId1950" xr:uid="{00000000-0004-0000-0200-00009D070000}"/>
    <hyperlink ref="G1762" r:id="rId1951" xr:uid="{00000000-0004-0000-0200-00009E070000}"/>
    <hyperlink ref="S1762" r:id="rId1952" xr:uid="{00000000-0004-0000-0200-00009F070000}"/>
    <hyperlink ref="F1763" r:id="rId1953" xr:uid="{00000000-0004-0000-0200-0000A0070000}"/>
    <hyperlink ref="G1763" r:id="rId1954" xr:uid="{00000000-0004-0000-0200-0000A1070000}"/>
    <hyperlink ref="G1764" r:id="rId1955" xr:uid="{00000000-0004-0000-0200-0000A2070000}"/>
    <hyperlink ref="S1764" r:id="rId1956" xr:uid="{00000000-0004-0000-0200-0000A3070000}"/>
    <hyperlink ref="F1765" r:id="rId1957" xr:uid="{00000000-0004-0000-0200-0000A4070000}"/>
    <hyperlink ref="G1765" r:id="rId1958" xr:uid="{00000000-0004-0000-0200-0000A5070000}"/>
    <hyperlink ref="S1765" r:id="rId1959" xr:uid="{00000000-0004-0000-0200-0000A6070000}"/>
    <hyperlink ref="F1766" r:id="rId1960" xr:uid="{00000000-0004-0000-0200-0000A7070000}"/>
    <hyperlink ref="G1766" r:id="rId1961" xr:uid="{00000000-0004-0000-0200-0000A8070000}"/>
    <hyperlink ref="G1767" r:id="rId1962" xr:uid="{00000000-0004-0000-0200-0000A9070000}"/>
    <hyperlink ref="G1770" r:id="rId1963" xr:uid="{00000000-0004-0000-0200-0000AA070000}"/>
    <hyperlink ref="S1770" r:id="rId1964" xr:uid="{00000000-0004-0000-0200-0000AB070000}"/>
    <hyperlink ref="S1771" r:id="rId1965" xr:uid="{00000000-0004-0000-0200-0000AC070000}"/>
    <hyperlink ref="F1774" r:id="rId1966" xr:uid="{00000000-0004-0000-0200-0000AD070000}"/>
    <hyperlink ref="G1774" r:id="rId1967" xr:uid="{00000000-0004-0000-0200-0000AE070000}"/>
    <hyperlink ref="S1774" r:id="rId1968" xr:uid="{00000000-0004-0000-0200-0000AF070000}"/>
    <hyperlink ref="S1776" r:id="rId1969" xr:uid="{00000000-0004-0000-0200-0000B0070000}"/>
    <hyperlink ref="F1777" r:id="rId1970" xr:uid="{00000000-0004-0000-0200-0000B1070000}"/>
    <hyperlink ref="G1777" r:id="rId1971" xr:uid="{00000000-0004-0000-0200-0000B2070000}"/>
    <hyperlink ref="G1778" r:id="rId1972" xr:uid="{00000000-0004-0000-0200-0000B3070000}"/>
    <hyperlink ref="S1779" r:id="rId1973" xr:uid="{00000000-0004-0000-0200-0000B4070000}"/>
    <hyperlink ref="F1780" r:id="rId1974" xr:uid="{00000000-0004-0000-0200-0000B5070000}"/>
    <hyperlink ref="F1781" r:id="rId1975" xr:uid="{00000000-0004-0000-0200-0000B6070000}"/>
    <hyperlink ref="F1782" r:id="rId1976" xr:uid="{00000000-0004-0000-0200-0000B7070000}"/>
    <hyperlink ref="S1783" r:id="rId1977" xr:uid="{00000000-0004-0000-0200-0000B8070000}"/>
    <hyperlink ref="F1784" r:id="rId1978" xr:uid="{00000000-0004-0000-0200-0000B9070000}"/>
    <hyperlink ref="S1785" r:id="rId1979" xr:uid="{00000000-0004-0000-0200-0000BA070000}"/>
    <hyperlink ref="F1786" r:id="rId1980" xr:uid="{00000000-0004-0000-0200-0000BB070000}"/>
    <hyperlink ref="G1787" r:id="rId1981" xr:uid="{00000000-0004-0000-0200-0000BC070000}"/>
    <hyperlink ref="S1787" r:id="rId1982" xr:uid="{00000000-0004-0000-0200-0000BD070000}"/>
    <hyperlink ref="F1788" r:id="rId1983" xr:uid="{00000000-0004-0000-0200-0000BE070000}"/>
    <hyperlink ref="S1788" r:id="rId1984" xr:uid="{00000000-0004-0000-0200-0000BF070000}"/>
    <hyperlink ref="F1789" r:id="rId1985" xr:uid="{00000000-0004-0000-0200-0000C0070000}"/>
    <hyperlink ref="G1791" r:id="rId1986" xr:uid="{00000000-0004-0000-0200-0000C1070000}"/>
    <hyperlink ref="S1791" r:id="rId1987" xr:uid="{00000000-0004-0000-0200-0000C2070000}"/>
    <hyperlink ref="F1792" r:id="rId1988" xr:uid="{00000000-0004-0000-0200-0000C3070000}"/>
    <hyperlink ref="S1792" r:id="rId1989" xr:uid="{00000000-0004-0000-0200-0000C4070000}"/>
    <hyperlink ref="G1793" r:id="rId1990" xr:uid="{00000000-0004-0000-0200-0000C5070000}"/>
    <hyperlink ref="S1793" r:id="rId1991" xr:uid="{00000000-0004-0000-0200-0000C6070000}"/>
    <hyperlink ref="S1794" r:id="rId1992" xr:uid="{00000000-0004-0000-0200-0000C7070000}"/>
    <hyperlink ref="S1795" r:id="rId1993" xr:uid="{00000000-0004-0000-0200-0000C8070000}"/>
    <hyperlink ref="S1797" r:id="rId1994" xr:uid="{00000000-0004-0000-0200-0000C9070000}"/>
    <hyperlink ref="F1798" r:id="rId1995" xr:uid="{00000000-0004-0000-0200-0000CA070000}"/>
    <hyperlink ref="G1807" r:id="rId1996" xr:uid="{00000000-0004-0000-0200-0000CB070000}"/>
    <hyperlink ref="S1807" r:id="rId1997" xr:uid="{00000000-0004-0000-0200-0000CC070000}"/>
    <hyperlink ref="F1809" r:id="rId1998" xr:uid="{00000000-0004-0000-0200-0000CD070000}"/>
    <hyperlink ref="G1809" r:id="rId1999" xr:uid="{00000000-0004-0000-0200-0000CE070000}"/>
    <hyperlink ref="S1810" r:id="rId2000" xr:uid="{00000000-0004-0000-0200-0000CF070000}"/>
    <hyperlink ref="F1812" r:id="rId2001" xr:uid="{00000000-0004-0000-0200-0000D0070000}"/>
    <hyperlink ref="F1813" r:id="rId2002" xr:uid="{00000000-0004-0000-0200-0000D1070000}"/>
    <hyperlink ref="G1814" r:id="rId2003" xr:uid="{00000000-0004-0000-0200-0000D2070000}"/>
    <hyperlink ref="S1814" r:id="rId2004" xr:uid="{00000000-0004-0000-0200-0000D3070000}"/>
    <hyperlink ref="F1815" r:id="rId2005" xr:uid="{00000000-0004-0000-0200-0000D4070000}"/>
    <hyperlink ref="F1816" r:id="rId2006" xr:uid="{00000000-0004-0000-0200-0000D5070000}"/>
    <hyperlink ref="G1816" r:id="rId2007" xr:uid="{00000000-0004-0000-0200-0000D6070000}"/>
    <hyperlink ref="F1817" r:id="rId2008" xr:uid="{00000000-0004-0000-0200-0000D7070000}"/>
    <hyperlink ref="G1817" r:id="rId2009" xr:uid="{00000000-0004-0000-0200-0000D8070000}"/>
    <hyperlink ref="G1820" r:id="rId2010" xr:uid="{00000000-0004-0000-0200-0000D9070000}"/>
    <hyperlink ref="S1820" r:id="rId2011" xr:uid="{00000000-0004-0000-0200-0000DA070000}"/>
    <hyperlink ref="F1822" r:id="rId2012" xr:uid="{00000000-0004-0000-0200-0000DB070000}"/>
    <hyperlink ref="S1822" r:id="rId2013" xr:uid="{00000000-0004-0000-0200-0000DC070000}"/>
    <hyperlink ref="G1824" r:id="rId2014" xr:uid="{00000000-0004-0000-0200-0000DD070000}"/>
    <hyperlink ref="F1826" r:id="rId2015" xr:uid="{00000000-0004-0000-0200-0000DE070000}"/>
    <hyperlink ref="S1826" r:id="rId2016" xr:uid="{00000000-0004-0000-0200-0000DF070000}"/>
    <hyperlink ref="G1827" r:id="rId2017" xr:uid="{00000000-0004-0000-0200-0000E0070000}"/>
    <hyperlink ref="S1827" r:id="rId2018" xr:uid="{00000000-0004-0000-0200-0000E1070000}"/>
    <hyperlink ref="S1828" r:id="rId2019" xr:uid="{00000000-0004-0000-0200-0000E2070000}"/>
    <hyperlink ref="G1829" r:id="rId2020" xr:uid="{00000000-0004-0000-0200-0000E3070000}"/>
    <hyperlink ref="S1829" r:id="rId2021" xr:uid="{00000000-0004-0000-0200-0000E4070000}"/>
    <hyperlink ref="F1832" r:id="rId2022" xr:uid="{00000000-0004-0000-0200-0000E5070000}"/>
    <hyperlink ref="G1832" r:id="rId2023" xr:uid="{00000000-0004-0000-0200-0000E6070000}"/>
    <hyperlink ref="F1833" r:id="rId2024" xr:uid="{00000000-0004-0000-0200-0000E7070000}"/>
    <hyperlink ref="F1834" r:id="rId2025" xr:uid="{00000000-0004-0000-0200-0000E8070000}"/>
    <hyperlink ref="S1834" r:id="rId2026" xr:uid="{00000000-0004-0000-0200-0000E9070000}"/>
    <hyperlink ref="F1835" r:id="rId2027" xr:uid="{00000000-0004-0000-0200-0000EA070000}"/>
    <hyperlink ref="G1835" r:id="rId2028" xr:uid="{00000000-0004-0000-0200-0000EB070000}"/>
    <hyperlink ref="G1836" r:id="rId2029" xr:uid="{00000000-0004-0000-0200-0000EC070000}"/>
    <hyperlink ref="S1836" r:id="rId2030" xr:uid="{00000000-0004-0000-0200-0000ED070000}"/>
    <hyperlink ref="F1838" r:id="rId2031" xr:uid="{00000000-0004-0000-0200-0000EE070000}"/>
    <hyperlink ref="F1841" r:id="rId2032" xr:uid="{00000000-0004-0000-0200-0000EF070000}"/>
    <hyperlink ref="S1844" r:id="rId2033" xr:uid="{00000000-0004-0000-0200-0000F0070000}"/>
    <hyperlink ref="G1846" r:id="rId2034" xr:uid="{00000000-0004-0000-0200-0000F1070000}"/>
    <hyperlink ref="F1849" r:id="rId2035" xr:uid="{00000000-0004-0000-0200-0000F2070000}"/>
    <hyperlink ref="G1849" r:id="rId2036" xr:uid="{00000000-0004-0000-0200-0000F3070000}"/>
    <hyperlink ref="S1852" r:id="rId2037" xr:uid="{00000000-0004-0000-0200-0000F4070000}"/>
    <hyperlink ref="F1854" r:id="rId2038" xr:uid="{00000000-0004-0000-0200-0000F5070000}"/>
    <hyperlink ref="S1854" r:id="rId2039" xr:uid="{00000000-0004-0000-0200-0000F6070000}"/>
    <hyperlink ref="F1855" r:id="rId2040" location="Echobox=1542741985" xr:uid="{00000000-0004-0000-0200-0000F7070000}"/>
    <hyperlink ref="F1856" r:id="rId2041" location="!/rivera-acusa-a-sanchez-de-haber-perdido-el-respeto-a-los-espanoles" xr:uid="{00000000-0004-0000-0200-0000F8070000}"/>
    <hyperlink ref="S1856" r:id="rId2042" xr:uid="{00000000-0004-0000-0200-0000F9070000}"/>
    <hyperlink ref="F1857" r:id="rId2043" xr:uid="{00000000-0004-0000-0200-0000FA070000}"/>
    <hyperlink ref="F1859" r:id="rId2044" xr:uid="{00000000-0004-0000-0200-0000FB070000}"/>
    <hyperlink ref="F1860" r:id="rId2045" xr:uid="{00000000-0004-0000-0200-0000FC070000}"/>
    <hyperlink ref="G1861" r:id="rId2046" xr:uid="{00000000-0004-0000-0200-0000FD070000}"/>
    <hyperlink ref="G1862" r:id="rId2047" xr:uid="{00000000-0004-0000-0200-0000FE070000}"/>
    <hyperlink ref="S1862" r:id="rId2048" xr:uid="{00000000-0004-0000-0200-0000FF070000}"/>
    <hyperlink ref="S1863" r:id="rId2049" xr:uid="{00000000-0004-0000-0200-000000080000}"/>
    <hyperlink ref="F1864" r:id="rId2050" xr:uid="{00000000-0004-0000-0200-000001080000}"/>
    <hyperlink ref="G1864" r:id="rId2051" xr:uid="{00000000-0004-0000-0200-000002080000}"/>
    <hyperlink ref="S1864" r:id="rId2052" xr:uid="{00000000-0004-0000-0200-000003080000}"/>
    <hyperlink ref="F1865" r:id="rId2053" xr:uid="{00000000-0004-0000-0200-000004080000}"/>
    <hyperlink ref="S1865" r:id="rId2054" xr:uid="{00000000-0004-0000-0200-000005080000}"/>
    <hyperlink ref="S1866" r:id="rId2055" xr:uid="{00000000-0004-0000-0200-000006080000}"/>
    <hyperlink ref="F1868" r:id="rId2056" xr:uid="{00000000-0004-0000-0200-000007080000}"/>
    <hyperlink ref="G1870" r:id="rId2057" xr:uid="{00000000-0004-0000-0200-000008080000}"/>
    <hyperlink ref="S1870" r:id="rId2058" xr:uid="{00000000-0004-0000-0200-000009080000}"/>
    <hyperlink ref="F1871" r:id="rId2059" xr:uid="{00000000-0004-0000-0200-00000A080000}"/>
    <hyperlink ref="F1872" r:id="rId2060" xr:uid="{00000000-0004-0000-0200-00000B080000}"/>
    <hyperlink ref="F1873" r:id="rId2061" xr:uid="{00000000-0004-0000-0200-00000C080000}"/>
    <hyperlink ref="G1873" r:id="rId2062" xr:uid="{00000000-0004-0000-0200-00000D080000}"/>
    <hyperlink ref="G1874" r:id="rId2063" xr:uid="{00000000-0004-0000-0200-00000E080000}"/>
    <hyperlink ref="S1874" r:id="rId2064" xr:uid="{00000000-0004-0000-0200-00000F080000}"/>
    <hyperlink ref="G1876" r:id="rId2065" xr:uid="{00000000-0004-0000-0200-000010080000}"/>
    <hyperlink ref="S1876" r:id="rId2066" xr:uid="{00000000-0004-0000-0200-000011080000}"/>
    <hyperlink ref="G1877" r:id="rId2067" xr:uid="{00000000-0004-0000-0200-000012080000}"/>
    <hyperlink ref="S1877" r:id="rId2068" xr:uid="{00000000-0004-0000-0200-000013080000}"/>
    <hyperlink ref="S1878" r:id="rId2069" xr:uid="{00000000-0004-0000-0200-000014080000}"/>
    <hyperlink ref="G1879" r:id="rId2070" xr:uid="{00000000-0004-0000-0200-000015080000}"/>
    <hyperlink ref="S1880" r:id="rId2071" xr:uid="{00000000-0004-0000-0200-000016080000}"/>
    <hyperlink ref="S1881" r:id="rId2072" xr:uid="{00000000-0004-0000-0200-000017080000}"/>
    <hyperlink ref="F1882" r:id="rId2073" xr:uid="{00000000-0004-0000-0200-000018080000}"/>
    <hyperlink ref="S1882" r:id="rId2074" xr:uid="{00000000-0004-0000-0200-000019080000}"/>
    <hyperlink ref="G1883" r:id="rId2075" xr:uid="{00000000-0004-0000-0200-00001A080000}"/>
    <hyperlink ref="S1883" r:id="rId2076" xr:uid="{00000000-0004-0000-0200-00001B080000}"/>
    <hyperlink ref="G1884" r:id="rId2077" xr:uid="{00000000-0004-0000-0200-00001C080000}"/>
    <hyperlink ref="S1885" r:id="rId2078" xr:uid="{00000000-0004-0000-0200-00001D080000}"/>
    <hyperlink ref="G1886" r:id="rId2079" xr:uid="{00000000-0004-0000-0200-00001E080000}"/>
    <hyperlink ref="G1887" r:id="rId2080" xr:uid="{00000000-0004-0000-0200-00001F080000}"/>
    <hyperlink ref="S1887" r:id="rId2081" xr:uid="{00000000-0004-0000-0200-000020080000}"/>
    <hyperlink ref="F1888" r:id="rId2082" location=".W_Rif6VBXsk.twitter" xr:uid="{00000000-0004-0000-0200-000021080000}"/>
    <hyperlink ref="S1888" r:id="rId2083" xr:uid="{00000000-0004-0000-0200-000022080000}"/>
    <hyperlink ref="G1889" r:id="rId2084" xr:uid="{00000000-0004-0000-0200-000023080000}"/>
    <hyperlink ref="F1890" r:id="rId2085" xr:uid="{00000000-0004-0000-0200-000024080000}"/>
    <hyperlink ref="S1890" r:id="rId2086" xr:uid="{00000000-0004-0000-0200-000025080000}"/>
    <hyperlink ref="F1891" r:id="rId2087" xr:uid="{00000000-0004-0000-0200-000026080000}"/>
    <hyperlink ref="F1892" r:id="rId2088" xr:uid="{00000000-0004-0000-0200-000027080000}"/>
    <hyperlink ref="F1893" r:id="rId2089" xr:uid="{00000000-0004-0000-0200-000028080000}"/>
    <hyperlink ref="S1893" r:id="rId2090" xr:uid="{00000000-0004-0000-0200-000029080000}"/>
    <hyperlink ref="G1894" r:id="rId2091" xr:uid="{00000000-0004-0000-0200-00002A080000}"/>
    <hyperlink ref="S1894" r:id="rId2092" xr:uid="{00000000-0004-0000-0200-00002B080000}"/>
    <hyperlink ref="F1896" r:id="rId2093" xr:uid="{00000000-0004-0000-0200-00002C080000}"/>
    <hyperlink ref="G1896" r:id="rId2094" xr:uid="{00000000-0004-0000-0200-00002D080000}"/>
    <hyperlink ref="S1896" r:id="rId2095" xr:uid="{00000000-0004-0000-0200-00002E080000}"/>
    <hyperlink ref="F1897" r:id="rId2096" xr:uid="{00000000-0004-0000-0200-00002F080000}"/>
    <hyperlink ref="S1897" r:id="rId2097" xr:uid="{00000000-0004-0000-0200-000030080000}"/>
    <hyperlink ref="F1898" r:id="rId2098" xr:uid="{00000000-0004-0000-0200-000031080000}"/>
    <hyperlink ref="S1898" r:id="rId2099" xr:uid="{00000000-0004-0000-0200-000032080000}"/>
    <hyperlink ref="F1899" r:id="rId2100" location=".W_RgGoFNJRY.twitter" xr:uid="{00000000-0004-0000-0200-000033080000}"/>
    <hyperlink ref="S1899" r:id="rId2101" xr:uid="{00000000-0004-0000-0200-000034080000}"/>
    <hyperlink ref="F1900" r:id="rId2102" xr:uid="{00000000-0004-0000-0200-000035080000}"/>
    <hyperlink ref="F1901" r:id="rId2103" xr:uid="{00000000-0004-0000-0200-000036080000}"/>
    <hyperlink ref="G1902" r:id="rId2104" xr:uid="{00000000-0004-0000-0200-000037080000}"/>
    <hyperlink ref="F1903" r:id="rId2105" xr:uid="{00000000-0004-0000-0200-000038080000}"/>
    <hyperlink ref="F1904" r:id="rId2106" xr:uid="{00000000-0004-0000-0200-000039080000}"/>
    <hyperlink ref="F1905" r:id="rId2107" xr:uid="{00000000-0004-0000-0200-00003A080000}"/>
    <hyperlink ref="F1906" r:id="rId2108" xr:uid="{00000000-0004-0000-0200-00003B080000}"/>
    <hyperlink ref="F1907" r:id="rId2109" xr:uid="{00000000-0004-0000-0200-00003C080000}"/>
    <hyperlink ref="S1907" r:id="rId2110" xr:uid="{00000000-0004-0000-0200-00003D080000}"/>
    <hyperlink ref="F1908" r:id="rId2111" xr:uid="{00000000-0004-0000-0200-00003E080000}"/>
    <hyperlink ref="F1909" r:id="rId2112" xr:uid="{00000000-0004-0000-0200-00003F080000}"/>
    <hyperlink ref="F1910" r:id="rId2113" xr:uid="{00000000-0004-0000-0200-000040080000}"/>
    <hyperlink ref="S1910" r:id="rId2114" xr:uid="{00000000-0004-0000-0200-000041080000}"/>
    <hyperlink ref="F1911" r:id="rId2115" xr:uid="{00000000-0004-0000-0200-000042080000}"/>
    <hyperlink ref="G1911" r:id="rId2116" xr:uid="{00000000-0004-0000-0200-000043080000}"/>
    <hyperlink ref="F1912" r:id="rId2117" xr:uid="{00000000-0004-0000-0200-000044080000}"/>
    <hyperlink ref="F1913" r:id="rId2118" xr:uid="{00000000-0004-0000-0200-000045080000}"/>
    <hyperlink ref="F1914" r:id="rId2119" xr:uid="{00000000-0004-0000-0200-000046080000}"/>
    <hyperlink ref="F1915" r:id="rId2120" xr:uid="{00000000-0004-0000-0200-000047080000}"/>
    <hyperlink ref="G1917" r:id="rId2121" xr:uid="{00000000-0004-0000-0200-000048080000}"/>
    <hyperlink ref="S1917" r:id="rId2122" xr:uid="{00000000-0004-0000-0200-000049080000}"/>
    <hyperlink ref="G1918" r:id="rId2123" xr:uid="{00000000-0004-0000-0200-00004A080000}"/>
    <hyperlink ref="F1919" r:id="rId2124" xr:uid="{00000000-0004-0000-0200-00004B080000}"/>
    <hyperlink ref="F1920" r:id="rId2125" xr:uid="{00000000-0004-0000-0200-00004C080000}"/>
    <hyperlink ref="S1920" r:id="rId2126" xr:uid="{00000000-0004-0000-0200-00004D080000}"/>
    <hyperlink ref="F1921" r:id="rId2127" xr:uid="{00000000-0004-0000-0200-00004E080000}"/>
    <hyperlink ref="F1922" r:id="rId2128" xr:uid="{00000000-0004-0000-0200-00004F080000}"/>
    <hyperlink ref="S1922" r:id="rId2129" xr:uid="{00000000-0004-0000-0200-000050080000}"/>
    <hyperlink ref="G1923" r:id="rId2130" xr:uid="{00000000-0004-0000-0200-000051080000}"/>
    <hyperlink ref="S1923" r:id="rId2131" xr:uid="{00000000-0004-0000-0200-000052080000}"/>
    <hyperlink ref="F1924" r:id="rId2132" xr:uid="{00000000-0004-0000-0200-000053080000}"/>
    <hyperlink ref="S1924" r:id="rId2133" xr:uid="{00000000-0004-0000-0200-000054080000}"/>
    <hyperlink ref="G1925" r:id="rId2134" xr:uid="{00000000-0004-0000-0200-000055080000}"/>
    <hyperlink ref="S1925" r:id="rId2135" xr:uid="{00000000-0004-0000-0200-000056080000}"/>
    <hyperlink ref="F1926" r:id="rId2136" xr:uid="{00000000-0004-0000-0200-000057080000}"/>
    <hyperlink ref="S1926" r:id="rId2137" xr:uid="{00000000-0004-0000-0200-000058080000}"/>
    <hyperlink ref="G1927" r:id="rId2138" xr:uid="{00000000-0004-0000-0200-000059080000}"/>
    <hyperlink ref="S1927" r:id="rId2139" xr:uid="{00000000-0004-0000-0200-00005A080000}"/>
    <hyperlink ref="F1928" r:id="rId2140" xr:uid="{00000000-0004-0000-0200-00005B080000}"/>
    <hyperlink ref="F1930" r:id="rId2141" xr:uid="{00000000-0004-0000-0200-00005C080000}"/>
    <hyperlink ref="S1930" r:id="rId2142" xr:uid="{00000000-0004-0000-0200-00005D080000}"/>
    <hyperlink ref="G1931" r:id="rId2143" xr:uid="{00000000-0004-0000-0200-00005E080000}"/>
    <hyperlink ref="F1932" r:id="rId2144" xr:uid="{00000000-0004-0000-0200-00005F080000}"/>
    <hyperlink ref="F1933" r:id="rId2145" xr:uid="{00000000-0004-0000-0200-000060080000}"/>
    <hyperlink ref="F1934" r:id="rId2146" xr:uid="{00000000-0004-0000-0200-000061080000}"/>
    <hyperlink ref="F1935" r:id="rId2147" xr:uid="{00000000-0004-0000-0200-000062080000}"/>
    <hyperlink ref="F1936" r:id="rId2148" xr:uid="{00000000-0004-0000-0200-000063080000}"/>
    <hyperlink ref="S1936" r:id="rId2149" xr:uid="{00000000-0004-0000-0200-000064080000}"/>
    <hyperlink ref="F1937" r:id="rId2150" xr:uid="{00000000-0004-0000-0200-000065080000}"/>
    <hyperlink ref="S1937" r:id="rId2151" xr:uid="{00000000-0004-0000-0200-000066080000}"/>
    <hyperlink ref="F1938" r:id="rId2152" xr:uid="{00000000-0004-0000-0200-000067080000}"/>
    <hyperlink ref="G1939" r:id="rId2153" xr:uid="{00000000-0004-0000-0200-000068080000}"/>
    <hyperlink ref="S1939" r:id="rId2154" xr:uid="{00000000-0004-0000-0200-000069080000}"/>
    <hyperlink ref="S1940" r:id="rId2155" xr:uid="{00000000-0004-0000-0200-00006A080000}"/>
    <hyperlink ref="G1941" r:id="rId2156" xr:uid="{00000000-0004-0000-0200-00006B080000}"/>
    <hyperlink ref="S1942" r:id="rId2157" xr:uid="{00000000-0004-0000-0200-00006C080000}"/>
    <hyperlink ref="S1943" r:id="rId2158" xr:uid="{00000000-0004-0000-0200-00006D080000}"/>
    <hyperlink ref="G1944" r:id="rId2159" xr:uid="{00000000-0004-0000-0200-00006E080000}"/>
    <hyperlink ref="S1944" r:id="rId2160" xr:uid="{00000000-0004-0000-0200-00006F080000}"/>
    <hyperlink ref="F1945" r:id="rId2161" xr:uid="{00000000-0004-0000-0200-000070080000}"/>
    <hyperlink ref="S1945" r:id="rId2162" xr:uid="{00000000-0004-0000-0200-000071080000}"/>
    <hyperlink ref="F1946" r:id="rId2163" xr:uid="{00000000-0004-0000-0200-000072080000}"/>
    <hyperlink ref="G1946" r:id="rId2164" xr:uid="{00000000-0004-0000-0200-000073080000}"/>
    <hyperlink ref="S1946" r:id="rId2165" xr:uid="{00000000-0004-0000-0200-000074080000}"/>
    <hyperlink ref="G1947" r:id="rId2166" xr:uid="{00000000-0004-0000-0200-000075080000}"/>
    <hyperlink ref="F1949" r:id="rId2167" xr:uid="{00000000-0004-0000-0200-000076080000}"/>
    <hyperlink ref="F1950" r:id="rId2168" xr:uid="{00000000-0004-0000-0200-000077080000}"/>
    <hyperlink ref="S1950" r:id="rId2169" xr:uid="{00000000-0004-0000-0200-000078080000}"/>
    <hyperlink ref="S1951" r:id="rId2170" xr:uid="{00000000-0004-0000-0200-000079080000}"/>
    <hyperlink ref="G1952" r:id="rId2171" xr:uid="{00000000-0004-0000-0200-00007A080000}"/>
    <hyperlink ref="F1953" r:id="rId2172" xr:uid="{00000000-0004-0000-0200-00007B080000}"/>
    <hyperlink ref="G1954" r:id="rId2173" xr:uid="{00000000-0004-0000-0200-00007C080000}"/>
    <hyperlink ref="G1955" r:id="rId2174" xr:uid="{00000000-0004-0000-0200-00007D080000}"/>
    <hyperlink ref="F1956" r:id="rId2175" xr:uid="{00000000-0004-0000-0200-00007E080000}"/>
    <hyperlink ref="S1956" r:id="rId2176" xr:uid="{00000000-0004-0000-0200-00007F080000}"/>
    <hyperlink ref="G1957" r:id="rId2177" xr:uid="{00000000-0004-0000-0200-000080080000}"/>
    <hyperlink ref="G1960" r:id="rId2178" xr:uid="{00000000-0004-0000-0200-000081080000}"/>
    <hyperlink ref="G1962" r:id="rId2179" xr:uid="{00000000-0004-0000-0200-000082080000}"/>
    <hyperlink ref="S1962" r:id="rId2180" xr:uid="{00000000-0004-0000-0200-000083080000}"/>
    <hyperlink ref="F1963" r:id="rId2181" xr:uid="{00000000-0004-0000-0200-000084080000}"/>
    <hyperlink ref="G1964" r:id="rId2182" xr:uid="{00000000-0004-0000-0200-000085080000}"/>
    <hyperlink ref="S1964" r:id="rId2183" xr:uid="{00000000-0004-0000-0200-000086080000}"/>
    <hyperlink ref="G1965" r:id="rId2184" xr:uid="{00000000-0004-0000-0200-000087080000}"/>
    <hyperlink ref="S1965" r:id="rId2185" xr:uid="{00000000-0004-0000-0200-000088080000}"/>
    <hyperlink ref="G1966" r:id="rId2186" xr:uid="{00000000-0004-0000-0200-000089080000}"/>
    <hyperlink ref="F1967" r:id="rId2187" xr:uid="{00000000-0004-0000-0200-00008A080000}"/>
    <hyperlink ref="S1967" r:id="rId2188" xr:uid="{00000000-0004-0000-0200-00008B080000}"/>
    <hyperlink ref="G1968" r:id="rId2189" xr:uid="{00000000-0004-0000-0200-00008C080000}"/>
    <hyperlink ref="S1968" r:id="rId2190" xr:uid="{00000000-0004-0000-0200-00008D080000}"/>
    <hyperlink ref="F1969" r:id="rId2191" xr:uid="{00000000-0004-0000-0200-00008E080000}"/>
    <hyperlink ref="S1969" r:id="rId2192" xr:uid="{00000000-0004-0000-0200-00008F080000}"/>
    <hyperlink ref="G1970" r:id="rId2193" xr:uid="{00000000-0004-0000-0200-000090080000}"/>
    <hyperlink ref="G1972" r:id="rId2194" xr:uid="{00000000-0004-0000-0200-000091080000}"/>
    <hyperlink ref="S1972" r:id="rId2195" xr:uid="{00000000-0004-0000-0200-000092080000}"/>
    <hyperlink ref="G1973" r:id="rId2196" xr:uid="{00000000-0004-0000-0200-000093080000}"/>
    <hyperlink ref="S1973" r:id="rId2197" xr:uid="{00000000-0004-0000-0200-000094080000}"/>
    <hyperlink ref="F1974" r:id="rId2198" xr:uid="{00000000-0004-0000-0200-000095080000}"/>
    <hyperlink ref="F1976" r:id="rId2199" xr:uid="{00000000-0004-0000-0200-000096080000}"/>
    <hyperlink ref="G1977" r:id="rId2200" xr:uid="{00000000-0004-0000-0200-000097080000}"/>
    <hyperlink ref="S1977" r:id="rId2201" xr:uid="{00000000-0004-0000-0200-000098080000}"/>
    <hyperlink ref="F1978" r:id="rId2202" location=".W_RTTdcnPbM.twitter" xr:uid="{00000000-0004-0000-0200-000099080000}"/>
    <hyperlink ref="S1978" r:id="rId2203" xr:uid="{00000000-0004-0000-0200-00009A080000}"/>
    <hyperlink ref="F1979" r:id="rId2204" xr:uid="{00000000-0004-0000-0200-00009B080000}"/>
    <hyperlink ref="S1979" r:id="rId2205" location="allposts" xr:uid="{00000000-0004-0000-0200-00009C080000}"/>
    <hyperlink ref="G1980" r:id="rId2206" xr:uid="{00000000-0004-0000-0200-00009D080000}"/>
    <hyperlink ref="S1980" r:id="rId2207" xr:uid="{00000000-0004-0000-0200-00009E080000}"/>
    <hyperlink ref="F1981" r:id="rId2208" location=".W_RTHuyvJEE.twitter" xr:uid="{00000000-0004-0000-0200-00009F080000}"/>
    <hyperlink ref="S1981" r:id="rId2209" xr:uid="{00000000-0004-0000-0200-0000A0080000}"/>
    <hyperlink ref="F1982" r:id="rId2210" xr:uid="{00000000-0004-0000-0200-0000A1080000}"/>
    <hyperlink ref="G1982" r:id="rId2211" xr:uid="{00000000-0004-0000-0200-0000A2080000}"/>
    <hyperlink ref="G1983" r:id="rId2212" xr:uid="{00000000-0004-0000-0200-0000A3080000}"/>
    <hyperlink ref="S1983" r:id="rId2213" xr:uid="{00000000-0004-0000-0200-0000A4080000}"/>
    <hyperlink ref="S1984" r:id="rId2214" xr:uid="{00000000-0004-0000-0200-0000A5080000}"/>
    <hyperlink ref="F1985" r:id="rId2215" xr:uid="{00000000-0004-0000-0200-0000A6080000}"/>
    <hyperlink ref="S1985" r:id="rId2216" xr:uid="{00000000-0004-0000-0200-0000A7080000}"/>
    <hyperlink ref="G1986" r:id="rId2217" xr:uid="{00000000-0004-0000-0200-0000A8080000}"/>
    <hyperlink ref="S1986" r:id="rId2218" xr:uid="{00000000-0004-0000-0200-0000A9080000}"/>
    <hyperlink ref="F1987" r:id="rId2219" xr:uid="{00000000-0004-0000-0200-0000AA080000}"/>
    <hyperlink ref="F1988" r:id="rId2220" xr:uid="{00000000-0004-0000-0200-0000AB080000}"/>
    <hyperlink ref="G1988" r:id="rId2221" xr:uid="{00000000-0004-0000-0200-0000AC080000}"/>
    <hyperlink ref="F1989" r:id="rId2222" xr:uid="{00000000-0004-0000-0200-0000AD080000}"/>
    <hyperlink ref="S1989" r:id="rId2223" xr:uid="{00000000-0004-0000-0200-0000AE080000}"/>
    <hyperlink ref="F1990" r:id="rId2224" xr:uid="{00000000-0004-0000-0200-0000AF080000}"/>
    <hyperlink ref="G1990" r:id="rId2225" xr:uid="{00000000-0004-0000-0200-0000B0080000}"/>
    <hyperlink ref="F1992" r:id="rId2226" xr:uid="{00000000-0004-0000-0200-0000B1080000}"/>
    <hyperlink ref="G1992" r:id="rId2227" xr:uid="{00000000-0004-0000-0200-0000B2080000}"/>
    <hyperlink ref="G1994" r:id="rId2228" xr:uid="{00000000-0004-0000-0200-0000B3080000}"/>
    <hyperlink ref="S1994" r:id="rId2229" xr:uid="{00000000-0004-0000-0200-0000B4080000}"/>
    <hyperlink ref="G1995" r:id="rId2230" xr:uid="{00000000-0004-0000-0200-0000B5080000}"/>
    <hyperlink ref="S1995" r:id="rId2231" xr:uid="{00000000-0004-0000-0200-0000B6080000}"/>
    <hyperlink ref="G1996" r:id="rId2232" xr:uid="{00000000-0004-0000-0200-0000B7080000}"/>
    <hyperlink ref="S1996" r:id="rId2233" xr:uid="{00000000-0004-0000-0200-0000B8080000}"/>
    <hyperlink ref="C1997" r:id="rId2234" xr:uid="{00000000-0004-0000-0200-0000B9080000}"/>
    <hyperlink ref="F1997" r:id="rId2235" xr:uid="{00000000-0004-0000-0200-0000BA080000}"/>
    <hyperlink ref="S1997" r:id="rId2236" xr:uid="{00000000-0004-0000-0200-0000BB080000}"/>
    <hyperlink ref="F1998" r:id="rId2237" xr:uid="{00000000-0004-0000-0200-0000BC080000}"/>
    <hyperlink ref="F1999" r:id="rId2238" xr:uid="{00000000-0004-0000-0200-0000BD080000}"/>
    <hyperlink ref="F2000" r:id="rId2239" xr:uid="{00000000-0004-0000-0200-0000BE080000}"/>
    <hyperlink ref="S2000" r:id="rId2240" xr:uid="{00000000-0004-0000-0200-0000BF080000}"/>
    <hyperlink ref="F2002" r:id="rId2241" xr:uid="{00000000-0004-0000-0200-0000C0080000}"/>
    <hyperlink ref="S2002" r:id="rId2242" xr:uid="{00000000-0004-0000-0200-0000C1080000}"/>
    <hyperlink ref="F2003" r:id="rId2243" location=".W_RPU5x6B1M.twitter" xr:uid="{00000000-0004-0000-0200-0000C2080000}"/>
    <hyperlink ref="S2003" r:id="rId2244" xr:uid="{00000000-0004-0000-0200-0000C3080000}"/>
    <hyperlink ref="G2004" r:id="rId2245" xr:uid="{00000000-0004-0000-0200-0000C4080000}"/>
    <hyperlink ref="S2004" r:id="rId2246" xr:uid="{00000000-0004-0000-0200-0000C5080000}"/>
    <hyperlink ref="F2006" r:id="rId2247" xr:uid="{00000000-0004-0000-0200-0000C6080000}"/>
    <hyperlink ref="G2006" r:id="rId2248" xr:uid="{00000000-0004-0000-0200-0000C7080000}"/>
    <hyperlink ref="G2008" r:id="rId2249" xr:uid="{00000000-0004-0000-0200-0000C8080000}"/>
    <hyperlink ref="S2008" r:id="rId2250" xr:uid="{00000000-0004-0000-0200-0000C9080000}"/>
    <hyperlink ref="G2009" r:id="rId2251" xr:uid="{00000000-0004-0000-0200-0000CA080000}"/>
    <hyperlink ref="S2009" r:id="rId2252" xr:uid="{00000000-0004-0000-0200-0000CB080000}"/>
    <hyperlink ref="F2010" r:id="rId2253" xr:uid="{00000000-0004-0000-0200-0000CC080000}"/>
    <hyperlink ref="S2010" r:id="rId2254" xr:uid="{00000000-0004-0000-0200-0000CD080000}"/>
    <hyperlink ref="G2011" r:id="rId2255" xr:uid="{00000000-0004-0000-0200-0000CE080000}"/>
    <hyperlink ref="S2011" r:id="rId2256" xr:uid="{00000000-0004-0000-0200-0000CF080000}"/>
    <hyperlink ref="G2012" r:id="rId2257" xr:uid="{00000000-0004-0000-0200-0000D0080000}"/>
    <hyperlink ref="F2013" r:id="rId2258" xr:uid="{00000000-0004-0000-0200-0000D1080000}"/>
    <hyperlink ref="S2013" r:id="rId2259" xr:uid="{00000000-0004-0000-0200-0000D2080000}"/>
    <hyperlink ref="F2014" r:id="rId2260" xr:uid="{00000000-0004-0000-0200-0000D3080000}"/>
    <hyperlink ref="S2018" r:id="rId2261" xr:uid="{00000000-0004-0000-0200-0000D4080000}"/>
    <hyperlink ref="F2019" r:id="rId2262" xr:uid="{00000000-0004-0000-0200-0000D5080000}"/>
    <hyperlink ref="G2019" r:id="rId2263" xr:uid="{00000000-0004-0000-0200-0000D6080000}"/>
    <hyperlink ref="S2019" r:id="rId2264" xr:uid="{00000000-0004-0000-0200-0000D7080000}"/>
    <hyperlink ref="S2022" r:id="rId2265" xr:uid="{00000000-0004-0000-0200-0000D8080000}"/>
    <hyperlink ref="S2024" r:id="rId2266" xr:uid="{00000000-0004-0000-0200-0000D9080000}"/>
    <hyperlink ref="F2025" r:id="rId2267" xr:uid="{00000000-0004-0000-0200-0000DA080000}"/>
    <hyperlink ref="S2025" r:id="rId2268" xr:uid="{00000000-0004-0000-0200-0000DB080000}"/>
    <hyperlink ref="F2026" r:id="rId2269" xr:uid="{00000000-0004-0000-0200-0000DC080000}"/>
    <hyperlink ref="G2026" r:id="rId2270" xr:uid="{00000000-0004-0000-0200-0000DD080000}"/>
    <hyperlink ref="G2027" r:id="rId2271" xr:uid="{00000000-0004-0000-0200-0000DE080000}"/>
    <hyperlink ref="S2027" r:id="rId2272" xr:uid="{00000000-0004-0000-0200-0000DF080000}"/>
    <hyperlink ref="F2028" r:id="rId2273" xr:uid="{00000000-0004-0000-0200-0000E0080000}"/>
    <hyperlink ref="S2028" r:id="rId2274" xr:uid="{00000000-0004-0000-0200-0000E1080000}"/>
    <hyperlink ref="F2029" r:id="rId2275" xr:uid="{00000000-0004-0000-0200-0000E2080000}"/>
    <hyperlink ref="S2029" r:id="rId2276" xr:uid="{00000000-0004-0000-0200-0000E3080000}"/>
    <hyperlink ref="G2031" r:id="rId2277" xr:uid="{00000000-0004-0000-0200-0000E4080000}"/>
    <hyperlink ref="G2032" r:id="rId2278" xr:uid="{00000000-0004-0000-0200-0000E5080000}"/>
    <hyperlink ref="S2032" r:id="rId2279" xr:uid="{00000000-0004-0000-0200-0000E6080000}"/>
    <hyperlink ref="G2033" r:id="rId2280" xr:uid="{00000000-0004-0000-0200-0000E7080000}"/>
    <hyperlink ref="S2033" r:id="rId2281" xr:uid="{00000000-0004-0000-0200-0000E8080000}"/>
    <hyperlink ref="G2034" r:id="rId2282" xr:uid="{00000000-0004-0000-0200-0000E9080000}"/>
    <hyperlink ref="S2034" r:id="rId2283" xr:uid="{00000000-0004-0000-0200-0000EA080000}"/>
    <hyperlink ref="G2035" r:id="rId2284" xr:uid="{00000000-0004-0000-0200-0000EB080000}"/>
    <hyperlink ref="S2035" r:id="rId2285" xr:uid="{00000000-0004-0000-0200-0000EC080000}"/>
    <hyperlink ref="G2037" r:id="rId2286" xr:uid="{00000000-0004-0000-0200-0000ED080000}"/>
    <hyperlink ref="S2037" r:id="rId2287" xr:uid="{00000000-0004-0000-0200-0000EE080000}"/>
    <hyperlink ref="G2038" r:id="rId2288" xr:uid="{00000000-0004-0000-0200-0000EF080000}"/>
    <hyperlink ref="S2038" r:id="rId2289" xr:uid="{00000000-0004-0000-0200-0000F0080000}"/>
    <hyperlink ref="G2039" r:id="rId2290" xr:uid="{00000000-0004-0000-0200-0000F1080000}"/>
    <hyperlink ref="G2040" r:id="rId2291" xr:uid="{00000000-0004-0000-0200-0000F2080000}"/>
    <hyperlink ref="S2040" r:id="rId2292" xr:uid="{00000000-0004-0000-0200-0000F3080000}"/>
    <hyperlink ref="G2041" r:id="rId2293" xr:uid="{00000000-0004-0000-0200-0000F4080000}"/>
    <hyperlink ref="S2041" r:id="rId2294" xr:uid="{00000000-0004-0000-0200-0000F5080000}"/>
    <hyperlink ref="F2042" r:id="rId2295" xr:uid="{00000000-0004-0000-0200-0000F6080000}"/>
    <hyperlink ref="S2042" r:id="rId2296" xr:uid="{00000000-0004-0000-0200-0000F7080000}"/>
    <hyperlink ref="G2043" r:id="rId2297" xr:uid="{00000000-0004-0000-0200-0000F8080000}"/>
    <hyperlink ref="S2043" r:id="rId2298" xr:uid="{00000000-0004-0000-0200-0000F9080000}"/>
    <hyperlink ref="F2044" r:id="rId2299" xr:uid="{00000000-0004-0000-0200-0000FA080000}"/>
    <hyperlink ref="G2044" r:id="rId2300" xr:uid="{00000000-0004-0000-0200-0000FB080000}"/>
    <hyperlink ref="G2045" r:id="rId2301" xr:uid="{00000000-0004-0000-0200-0000FC080000}"/>
    <hyperlink ref="S2045" r:id="rId2302" xr:uid="{00000000-0004-0000-0200-0000FD080000}"/>
    <hyperlink ref="G2047" r:id="rId2303" xr:uid="{00000000-0004-0000-0200-0000FE080000}"/>
    <hyperlink ref="F2048" r:id="rId2304" xr:uid="{00000000-0004-0000-0200-0000FF080000}"/>
    <hyperlink ref="S2048" r:id="rId2305" xr:uid="{00000000-0004-0000-0200-000000090000}"/>
    <hyperlink ref="G2049" r:id="rId2306" xr:uid="{00000000-0004-0000-0200-000001090000}"/>
    <hyperlink ref="G2050" r:id="rId2307" xr:uid="{00000000-0004-0000-0200-000002090000}"/>
    <hyperlink ref="S2050" r:id="rId2308" xr:uid="{00000000-0004-0000-0200-000003090000}"/>
    <hyperlink ref="G2051" r:id="rId2309" xr:uid="{00000000-0004-0000-0200-000004090000}"/>
    <hyperlink ref="S2051" r:id="rId2310" xr:uid="{00000000-0004-0000-0200-000005090000}"/>
    <hyperlink ref="F2052" r:id="rId2311" xr:uid="{00000000-0004-0000-0200-000006090000}"/>
    <hyperlink ref="G2052" r:id="rId2312" xr:uid="{00000000-0004-0000-0200-000007090000}"/>
    <hyperlink ref="S2052" r:id="rId2313" xr:uid="{00000000-0004-0000-0200-000008090000}"/>
    <hyperlink ref="G2053" r:id="rId2314" xr:uid="{00000000-0004-0000-0200-000009090000}"/>
    <hyperlink ref="S2053" r:id="rId2315" xr:uid="{00000000-0004-0000-0200-00000A090000}"/>
    <hyperlink ref="G2054" r:id="rId2316" xr:uid="{00000000-0004-0000-0200-00000B090000}"/>
    <hyperlink ref="S2054" r:id="rId2317" xr:uid="{00000000-0004-0000-0200-00000C090000}"/>
    <hyperlink ref="F2055" r:id="rId2318" xr:uid="{00000000-0004-0000-0200-00000D090000}"/>
    <hyperlink ref="S2055" r:id="rId2319" xr:uid="{00000000-0004-0000-0200-00000E090000}"/>
    <hyperlink ref="G2056" r:id="rId2320" xr:uid="{00000000-0004-0000-0200-00000F090000}"/>
    <hyperlink ref="S2056" r:id="rId2321" xr:uid="{00000000-0004-0000-0200-000010090000}"/>
    <hyperlink ref="G2059" r:id="rId2322" xr:uid="{00000000-0004-0000-0200-000011090000}"/>
    <hyperlink ref="S2059" r:id="rId2323" xr:uid="{00000000-0004-0000-0200-000012090000}"/>
    <hyperlink ref="F2060" r:id="rId2324" xr:uid="{00000000-0004-0000-0200-000013090000}"/>
    <hyperlink ref="S2060" r:id="rId2325" xr:uid="{00000000-0004-0000-0200-000014090000}"/>
    <hyperlink ref="G2061" r:id="rId2326" xr:uid="{00000000-0004-0000-0200-000015090000}"/>
    <hyperlink ref="S2061" r:id="rId2327" xr:uid="{00000000-0004-0000-0200-000016090000}"/>
    <hyperlink ref="G2062" r:id="rId2328" xr:uid="{00000000-0004-0000-0200-000017090000}"/>
    <hyperlink ref="S2062" r:id="rId2329" xr:uid="{00000000-0004-0000-0200-000018090000}"/>
    <hyperlink ref="G2063" r:id="rId2330" xr:uid="{00000000-0004-0000-0200-000019090000}"/>
    <hyperlink ref="F2064" r:id="rId2331" xr:uid="{00000000-0004-0000-0200-00001A090000}"/>
    <hyperlink ref="G2066" r:id="rId2332" xr:uid="{00000000-0004-0000-0200-00001B090000}"/>
    <hyperlink ref="S2066" r:id="rId2333" xr:uid="{00000000-0004-0000-0200-00001C090000}"/>
    <hyperlink ref="G2067" r:id="rId2334" xr:uid="{00000000-0004-0000-0200-00001D090000}"/>
    <hyperlink ref="G2068" r:id="rId2335" xr:uid="{00000000-0004-0000-0200-00001E090000}"/>
    <hyperlink ref="S2068" r:id="rId2336" xr:uid="{00000000-0004-0000-0200-00001F090000}"/>
    <hyperlink ref="G2069" r:id="rId2337" xr:uid="{00000000-0004-0000-0200-000020090000}"/>
    <hyperlink ref="S2069" r:id="rId2338" xr:uid="{00000000-0004-0000-0200-000021090000}"/>
    <hyperlink ref="G2070" r:id="rId2339" xr:uid="{00000000-0004-0000-0200-000022090000}"/>
    <hyperlink ref="S2071" r:id="rId2340" xr:uid="{00000000-0004-0000-0200-000023090000}"/>
    <hyperlink ref="G2072" r:id="rId2341" xr:uid="{00000000-0004-0000-0200-000024090000}"/>
    <hyperlink ref="S2072" r:id="rId2342" xr:uid="{00000000-0004-0000-0200-000025090000}"/>
    <hyperlink ref="F2073" r:id="rId2343" xr:uid="{00000000-0004-0000-0200-000026090000}"/>
    <hyperlink ref="G2074" r:id="rId2344" xr:uid="{00000000-0004-0000-0200-000027090000}"/>
    <hyperlink ref="S2074" r:id="rId2345" xr:uid="{00000000-0004-0000-0200-000028090000}"/>
    <hyperlink ref="G2075" r:id="rId2346" xr:uid="{00000000-0004-0000-0200-000029090000}"/>
    <hyperlink ref="G2076" r:id="rId2347" xr:uid="{00000000-0004-0000-0200-00002A090000}"/>
    <hyperlink ref="S2076" r:id="rId2348" xr:uid="{00000000-0004-0000-0200-00002B090000}"/>
    <hyperlink ref="G2077" r:id="rId2349" xr:uid="{00000000-0004-0000-0200-00002C090000}"/>
    <hyperlink ref="S2077" r:id="rId2350" xr:uid="{00000000-0004-0000-0200-00002D090000}"/>
    <hyperlink ref="F2078" r:id="rId2351" xr:uid="{00000000-0004-0000-0200-00002E090000}"/>
    <hyperlink ref="S2078" r:id="rId2352" xr:uid="{00000000-0004-0000-0200-00002F090000}"/>
    <hyperlink ref="F2079" r:id="rId2353" xr:uid="{00000000-0004-0000-0200-000030090000}"/>
    <hyperlink ref="G2079" r:id="rId2354" xr:uid="{00000000-0004-0000-0200-000031090000}"/>
    <hyperlink ref="G2080" r:id="rId2355" xr:uid="{00000000-0004-0000-0200-000032090000}"/>
    <hyperlink ref="S2080" r:id="rId2356" xr:uid="{00000000-0004-0000-0200-000033090000}"/>
    <hyperlink ref="G2081" r:id="rId2357" xr:uid="{00000000-0004-0000-0200-000034090000}"/>
    <hyperlink ref="G2082" r:id="rId2358" xr:uid="{00000000-0004-0000-0200-000035090000}"/>
    <hyperlink ref="G2083" r:id="rId2359" xr:uid="{00000000-0004-0000-0200-000036090000}"/>
    <hyperlink ref="S2083" r:id="rId2360" xr:uid="{00000000-0004-0000-0200-000037090000}"/>
    <hyperlink ref="G2084" r:id="rId2361" xr:uid="{00000000-0004-0000-0200-000038090000}"/>
    <hyperlink ref="G2085" r:id="rId2362" xr:uid="{00000000-0004-0000-0200-000039090000}"/>
    <hyperlink ref="F2086" r:id="rId2363" xr:uid="{00000000-0004-0000-0200-00003A090000}"/>
    <hyperlink ref="S2086" r:id="rId2364" xr:uid="{00000000-0004-0000-0200-00003B090000}"/>
    <hyperlink ref="F2088" r:id="rId2365" xr:uid="{00000000-0004-0000-0200-00003C090000}"/>
    <hyperlink ref="S2088" r:id="rId2366" xr:uid="{00000000-0004-0000-0200-00003D090000}"/>
    <hyperlink ref="F2089" r:id="rId2367" xr:uid="{00000000-0004-0000-0200-00003E090000}"/>
    <hyperlink ref="S2089" r:id="rId2368" xr:uid="{00000000-0004-0000-0200-00003F090000}"/>
    <hyperlink ref="F2091" r:id="rId2369" xr:uid="{00000000-0004-0000-0200-000040090000}"/>
    <hyperlink ref="S2091" r:id="rId2370" xr:uid="{00000000-0004-0000-0200-000041090000}"/>
    <hyperlink ref="F2092" r:id="rId2371" xr:uid="{00000000-0004-0000-0200-000042090000}"/>
    <hyperlink ref="G2093" r:id="rId2372" xr:uid="{00000000-0004-0000-0200-000043090000}"/>
    <hyperlink ref="F2095" r:id="rId2373" xr:uid="{00000000-0004-0000-0200-000044090000}"/>
    <hyperlink ref="G2096" r:id="rId2374" xr:uid="{00000000-0004-0000-0200-000045090000}"/>
    <hyperlink ref="S2097" r:id="rId2375" xr:uid="{00000000-0004-0000-0200-000046090000}"/>
    <hyperlink ref="F2098" r:id="rId2376" xr:uid="{00000000-0004-0000-0200-000047090000}"/>
    <hyperlink ref="F2099" r:id="rId2377" xr:uid="{00000000-0004-0000-0200-000048090000}"/>
    <hyperlink ref="F2100" r:id="rId2378" xr:uid="{00000000-0004-0000-0200-000049090000}"/>
    <hyperlink ref="G2100" r:id="rId2379" xr:uid="{00000000-0004-0000-0200-00004A090000}"/>
    <hyperlink ref="S2100" r:id="rId2380" xr:uid="{00000000-0004-0000-0200-00004B090000}"/>
    <hyperlink ref="G2101" r:id="rId2381" xr:uid="{00000000-0004-0000-0200-00004C090000}"/>
    <hyperlink ref="F2102" r:id="rId2382" xr:uid="{00000000-0004-0000-0200-00004D090000}"/>
    <hyperlink ref="F2103" r:id="rId2383" xr:uid="{00000000-0004-0000-0200-00004E090000}"/>
    <hyperlink ref="S2104" r:id="rId2384" xr:uid="{00000000-0004-0000-0200-00004F090000}"/>
    <hyperlink ref="F2105" r:id="rId2385" xr:uid="{00000000-0004-0000-0200-000050090000}"/>
    <hyperlink ref="S2105" r:id="rId2386" xr:uid="{00000000-0004-0000-0200-000051090000}"/>
    <hyperlink ref="F2106" r:id="rId2387" xr:uid="{00000000-0004-0000-0200-000052090000}"/>
    <hyperlink ref="F2107" r:id="rId2388" xr:uid="{00000000-0004-0000-0200-000053090000}"/>
    <hyperlink ref="F2108" r:id="rId2389" xr:uid="{00000000-0004-0000-0200-000054090000}"/>
    <hyperlink ref="F2109" r:id="rId2390" xr:uid="{00000000-0004-0000-0200-000055090000}"/>
    <hyperlink ref="S2109" r:id="rId2391" xr:uid="{00000000-0004-0000-0200-000056090000}"/>
    <hyperlink ref="F2110" r:id="rId2392" xr:uid="{00000000-0004-0000-0200-000057090000}"/>
    <hyperlink ref="S2110" r:id="rId2393" xr:uid="{00000000-0004-0000-0200-000058090000}"/>
    <hyperlink ref="G2112" r:id="rId2394" xr:uid="{00000000-0004-0000-0200-000059090000}"/>
    <hyperlink ref="F2113" r:id="rId2395" xr:uid="{00000000-0004-0000-0200-00005A090000}"/>
    <hyperlink ref="G2113" r:id="rId2396" xr:uid="{00000000-0004-0000-0200-00005B090000}"/>
    <hyperlink ref="S2113" r:id="rId2397" xr:uid="{00000000-0004-0000-0200-00005C090000}"/>
    <hyperlink ref="F2114" r:id="rId2398" xr:uid="{00000000-0004-0000-0200-00005D090000}"/>
    <hyperlink ref="S2114" r:id="rId2399" xr:uid="{00000000-0004-0000-0200-00005E090000}"/>
    <hyperlink ref="F2116" r:id="rId2400" xr:uid="{00000000-0004-0000-0200-00005F090000}"/>
    <hyperlink ref="S2116" r:id="rId2401" xr:uid="{00000000-0004-0000-0200-000060090000}"/>
    <hyperlink ref="F2117" r:id="rId2402" xr:uid="{00000000-0004-0000-0200-000061090000}"/>
    <hyperlink ref="G2117" r:id="rId2403" xr:uid="{00000000-0004-0000-0200-000062090000}"/>
    <hyperlink ref="S2117" r:id="rId2404" xr:uid="{00000000-0004-0000-0200-000063090000}"/>
    <hyperlink ref="S2118" r:id="rId2405" xr:uid="{00000000-0004-0000-0200-000064090000}"/>
    <hyperlink ref="F2119" r:id="rId2406" xr:uid="{00000000-0004-0000-0200-000065090000}"/>
    <hyperlink ref="G2119" r:id="rId2407" xr:uid="{00000000-0004-0000-0200-000066090000}"/>
    <hyperlink ref="S2120" r:id="rId2408" xr:uid="{00000000-0004-0000-0200-000067090000}"/>
    <hyperlink ref="G2122" r:id="rId2409" xr:uid="{00000000-0004-0000-0200-000068090000}"/>
    <hyperlink ref="S2122" r:id="rId2410" xr:uid="{00000000-0004-0000-0200-000069090000}"/>
    <hyperlink ref="F2127" r:id="rId2411" xr:uid="{00000000-0004-0000-0200-00006A090000}"/>
    <hyperlink ref="S2127" r:id="rId2412" xr:uid="{00000000-0004-0000-0200-00006B090000}"/>
    <hyperlink ref="G2130" r:id="rId2413" xr:uid="{00000000-0004-0000-0200-00006C090000}"/>
    <hyperlink ref="F2131" r:id="rId2414" xr:uid="{00000000-0004-0000-0200-00006D090000}"/>
    <hyperlink ref="S2131" r:id="rId2415" xr:uid="{00000000-0004-0000-0200-00006E090000}"/>
    <hyperlink ref="F2132" r:id="rId2416" xr:uid="{00000000-0004-0000-0200-00006F090000}"/>
    <hyperlink ref="S2132" r:id="rId2417" xr:uid="{00000000-0004-0000-0200-000070090000}"/>
    <hyperlink ref="G2133" r:id="rId2418" xr:uid="{00000000-0004-0000-0200-000071090000}"/>
    <hyperlink ref="G2134" r:id="rId2419" xr:uid="{00000000-0004-0000-0200-000072090000}"/>
    <hyperlink ref="G2136" r:id="rId2420" xr:uid="{00000000-0004-0000-0200-000073090000}"/>
    <hyperlink ref="F2137" r:id="rId2421" xr:uid="{00000000-0004-0000-0200-000074090000}"/>
    <hyperlink ref="S2137" r:id="rId2422" xr:uid="{00000000-0004-0000-0200-000075090000}"/>
    <hyperlink ref="F2139" r:id="rId2423" xr:uid="{00000000-0004-0000-0200-000076090000}"/>
    <hyperlink ref="F2140" r:id="rId2424" xr:uid="{00000000-0004-0000-0200-000077090000}"/>
    <hyperlink ref="S2140" r:id="rId2425" xr:uid="{00000000-0004-0000-0200-000078090000}"/>
    <hyperlink ref="F2141" r:id="rId2426" xr:uid="{00000000-0004-0000-0200-000079090000}"/>
    <hyperlink ref="G2142" r:id="rId2427" xr:uid="{00000000-0004-0000-0200-00007A090000}"/>
    <hyperlink ref="S2143" r:id="rId2428" xr:uid="{00000000-0004-0000-0200-00007B090000}"/>
    <hyperlink ref="F2144" r:id="rId2429" xr:uid="{00000000-0004-0000-0200-00007C090000}"/>
    <hyperlink ref="G2145" r:id="rId2430" xr:uid="{00000000-0004-0000-0200-00007D090000}"/>
    <hyperlink ref="S2145" r:id="rId2431" xr:uid="{00000000-0004-0000-0200-00007E090000}"/>
    <hyperlink ref="S2146" r:id="rId2432" xr:uid="{00000000-0004-0000-0200-00007F090000}"/>
    <hyperlink ref="G2147" r:id="rId2433" xr:uid="{00000000-0004-0000-0200-000080090000}"/>
    <hyperlink ref="S2147" r:id="rId2434" xr:uid="{00000000-0004-0000-0200-000081090000}"/>
    <hyperlink ref="F2149" r:id="rId2435" xr:uid="{00000000-0004-0000-0200-000082090000}"/>
    <hyperlink ref="G2151" r:id="rId2436" xr:uid="{00000000-0004-0000-0200-000083090000}"/>
    <hyperlink ref="S2151" r:id="rId2437" xr:uid="{00000000-0004-0000-0200-000084090000}"/>
    <hyperlink ref="G2153" r:id="rId2438" xr:uid="{00000000-0004-0000-0200-000085090000}"/>
    <hyperlink ref="S2153" r:id="rId2439" xr:uid="{00000000-0004-0000-0200-000086090000}"/>
    <hyperlink ref="G2154" r:id="rId2440" xr:uid="{00000000-0004-0000-0200-000087090000}"/>
    <hyperlink ref="S2154" r:id="rId2441" xr:uid="{00000000-0004-0000-0200-000088090000}"/>
    <hyperlink ref="F2155" r:id="rId2442" xr:uid="{00000000-0004-0000-0200-000089090000}"/>
    <hyperlink ref="G2156" r:id="rId2443" xr:uid="{00000000-0004-0000-0200-00008A090000}"/>
    <hyperlink ref="S2156" r:id="rId2444" xr:uid="{00000000-0004-0000-0200-00008B090000}"/>
    <hyperlink ref="G2157" r:id="rId2445" xr:uid="{00000000-0004-0000-0200-00008C090000}"/>
    <hyperlink ref="S2157" r:id="rId2446" xr:uid="{00000000-0004-0000-0200-00008D090000}"/>
    <hyperlink ref="G2158" r:id="rId2447" xr:uid="{00000000-0004-0000-0200-00008E090000}"/>
    <hyperlink ref="G2160" r:id="rId2448" xr:uid="{00000000-0004-0000-0200-00008F090000}"/>
    <hyperlink ref="F2161" r:id="rId2449" xr:uid="{00000000-0004-0000-0200-000090090000}"/>
    <hyperlink ref="S2161" r:id="rId2450" xr:uid="{00000000-0004-0000-0200-000091090000}"/>
    <hyperlink ref="S2162" r:id="rId2451" xr:uid="{00000000-0004-0000-0200-000092090000}"/>
    <hyperlink ref="F2163" r:id="rId2452" location="ns_campaign=rrss-inducido&amp;ns_mchannel=abc-es&amp;ns_source=tw&amp;ns_linkname=noticia-foto&amp;ns_fee=0" xr:uid="{00000000-0004-0000-0200-000093090000}"/>
    <hyperlink ref="F2165" r:id="rId2453" xr:uid="{00000000-0004-0000-0200-000094090000}"/>
    <hyperlink ref="F2166" r:id="rId2454" location="ns_campaign=rrss-inducido&amp;ns_mchannel=abc-es&amp;ns_source=tw&amp;ns_linkname=noticia-opinion&amp;ns_fee=0" xr:uid="{00000000-0004-0000-0200-000095090000}"/>
    <hyperlink ref="G2167" r:id="rId2455" xr:uid="{00000000-0004-0000-0200-000096090000}"/>
    <hyperlink ref="G2168" r:id="rId2456" xr:uid="{00000000-0004-0000-0200-000097090000}"/>
    <hyperlink ref="F2170" r:id="rId2457" xr:uid="{00000000-0004-0000-0200-000098090000}"/>
    <hyperlink ref="S2170" r:id="rId2458" xr:uid="{00000000-0004-0000-0200-000099090000}"/>
    <hyperlink ref="F2171" r:id="rId2459" xr:uid="{00000000-0004-0000-0200-00009A090000}"/>
    <hyperlink ref="F2172" r:id="rId2460" xr:uid="{00000000-0004-0000-0200-00009B090000}"/>
    <hyperlink ref="G2172" r:id="rId2461" xr:uid="{00000000-0004-0000-0200-00009C090000}"/>
    <hyperlink ref="G2173" r:id="rId2462" xr:uid="{00000000-0004-0000-0200-00009D090000}"/>
    <hyperlink ref="F2175" r:id="rId2463" xr:uid="{00000000-0004-0000-0200-00009E090000}"/>
    <hyperlink ref="G2175" r:id="rId2464" xr:uid="{00000000-0004-0000-0200-00009F090000}"/>
    <hyperlink ref="F2176" r:id="rId2465" xr:uid="{00000000-0004-0000-0200-0000A0090000}"/>
    <hyperlink ref="G2176" r:id="rId2466" xr:uid="{00000000-0004-0000-0200-0000A1090000}"/>
    <hyperlink ref="F2177" r:id="rId2467" xr:uid="{00000000-0004-0000-0200-0000A2090000}"/>
    <hyperlink ref="S2177" r:id="rId2468" xr:uid="{00000000-0004-0000-0200-0000A3090000}"/>
    <hyperlink ref="F2178" r:id="rId2469" xr:uid="{00000000-0004-0000-0200-0000A4090000}"/>
    <hyperlink ref="G2178" r:id="rId2470" xr:uid="{00000000-0004-0000-0200-0000A5090000}"/>
    <hyperlink ref="S2179" r:id="rId2471" xr:uid="{00000000-0004-0000-0200-0000A6090000}"/>
    <hyperlink ref="F2180" r:id="rId2472" xr:uid="{00000000-0004-0000-0200-0000A7090000}"/>
    <hyperlink ref="G2180" r:id="rId2473" xr:uid="{00000000-0004-0000-0200-0000A8090000}"/>
    <hyperlink ref="S2180" r:id="rId2474" xr:uid="{00000000-0004-0000-0200-0000A9090000}"/>
    <hyperlink ref="F2181" r:id="rId2475" xr:uid="{00000000-0004-0000-0200-0000AA090000}"/>
    <hyperlink ref="F2182" r:id="rId2476" xr:uid="{00000000-0004-0000-0200-0000AB090000}"/>
    <hyperlink ref="G2183" r:id="rId2477" xr:uid="{00000000-0004-0000-0200-0000AC090000}"/>
    <hyperlink ref="S2183" r:id="rId2478" xr:uid="{00000000-0004-0000-0200-0000AD090000}"/>
    <hyperlink ref="S2184" r:id="rId2479" xr:uid="{00000000-0004-0000-0200-0000AE090000}"/>
    <hyperlink ref="F2185" r:id="rId2480" xr:uid="{00000000-0004-0000-0200-0000AF090000}"/>
    <hyperlink ref="G2185" r:id="rId2481" xr:uid="{00000000-0004-0000-0200-0000B0090000}"/>
    <hyperlink ref="S2186" r:id="rId2482" xr:uid="{00000000-0004-0000-0200-0000B1090000}"/>
    <hyperlink ref="F2189" r:id="rId2483" xr:uid="{00000000-0004-0000-0200-0000B2090000}"/>
    <hyperlink ref="F2190" r:id="rId2484" xr:uid="{00000000-0004-0000-0200-0000B3090000}"/>
    <hyperlink ref="F2191" r:id="rId2485" xr:uid="{00000000-0004-0000-0200-0000B4090000}"/>
    <hyperlink ref="G2191" r:id="rId2486" xr:uid="{00000000-0004-0000-0200-0000B5090000}"/>
    <hyperlink ref="F2192" r:id="rId2487" xr:uid="{00000000-0004-0000-0200-0000B6090000}"/>
    <hyperlink ref="G2192" r:id="rId2488" xr:uid="{00000000-0004-0000-0200-0000B7090000}"/>
    <hyperlink ref="F2194" r:id="rId2489" xr:uid="{00000000-0004-0000-0200-0000B8090000}"/>
    <hyperlink ref="G2194" r:id="rId2490" xr:uid="{00000000-0004-0000-0200-0000B9090000}"/>
    <hyperlink ref="S2195" r:id="rId2491" xr:uid="{00000000-0004-0000-0200-0000BA090000}"/>
    <hyperlink ref="F2196" r:id="rId2492" xr:uid="{00000000-0004-0000-0200-0000BB090000}"/>
    <hyperlink ref="F2197" r:id="rId2493" xr:uid="{00000000-0004-0000-0200-0000BC090000}"/>
    <hyperlink ref="G2197" r:id="rId2494" xr:uid="{00000000-0004-0000-0200-0000BD090000}"/>
    <hyperlink ref="S2197" r:id="rId2495" xr:uid="{00000000-0004-0000-0200-0000BE090000}"/>
    <hyperlink ref="F2198" r:id="rId2496" xr:uid="{00000000-0004-0000-0200-0000BF090000}"/>
    <hyperlink ref="S2198" r:id="rId2497" xr:uid="{00000000-0004-0000-0200-0000C0090000}"/>
    <hyperlink ref="G2199" r:id="rId2498" xr:uid="{00000000-0004-0000-0200-0000C1090000}"/>
    <hyperlink ref="S2199" r:id="rId2499" xr:uid="{00000000-0004-0000-0200-0000C2090000}"/>
    <hyperlink ref="G2200" r:id="rId2500" xr:uid="{00000000-0004-0000-0200-0000C3090000}"/>
    <hyperlink ref="F2201" r:id="rId2501" xr:uid="{00000000-0004-0000-0200-0000C4090000}"/>
    <hyperlink ref="S2201" r:id="rId2502" xr:uid="{00000000-0004-0000-0200-0000C5090000}"/>
    <hyperlink ref="G2202" r:id="rId2503" xr:uid="{00000000-0004-0000-0200-0000C6090000}"/>
    <hyperlink ref="G2203" r:id="rId2504" xr:uid="{00000000-0004-0000-0200-0000C7090000}"/>
    <hyperlink ref="S2205" r:id="rId2505" xr:uid="{00000000-0004-0000-0200-0000C8090000}"/>
    <hyperlink ref="F2206" r:id="rId2506" xr:uid="{00000000-0004-0000-0200-0000C9090000}"/>
    <hyperlink ref="S2206" r:id="rId2507" xr:uid="{00000000-0004-0000-0200-0000CA090000}"/>
    <hyperlink ref="F2207" r:id="rId2508" xr:uid="{00000000-0004-0000-0200-0000CB090000}"/>
    <hyperlink ref="S2207" r:id="rId2509" xr:uid="{00000000-0004-0000-0200-0000CC090000}"/>
    <hyperlink ref="F2208" r:id="rId2510" xr:uid="{00000000-0004-0000-0200-0000CD090000}"/>
    <hyperlink ref="S2208" r:id="rId2511" xr:uid="{00000000-0004-0000-0200-0000CE090000}"/>
    <hyperlink ref="F2209" r:id="rId2512" xr:uid="{00000000-0004-0000-0200-0000CF090000}"/>
    <hyperlink ref="F2210" r:id="rId2513" xr:uid="{00000000-0004-0000-0200-0000D0090000}"/>
    <hyperlink ref="S2210" r:id="rId2514" xr:uid="{00000000-0004-0000-0200-0000D1090000}"/>
    <hyperlink ref="F2211" r:id="rId2515" xr:uid="{00000000-0004-0000-0200-0000D2090000}"/>
    <hyperlink ref="S2211" r:id="rId2516" xr:uid="{00000000-0004-0000-0200-0000D3090000}"/>
    <hyperlink ref="F2212" r:id="rId2517" xr:uid="{00000000-0004-0000-0200-0000D4090000}"/>
    <hyperlink ref="G2212" r:id="rId2518" xr:uid="{00000000-0004-0000-0200-0000D5090000}"/>
    <hyperlink ref="S2212" r:id="rId2519" xr:uid="{00000000-0004-0000-0200-0000D6090000}"/>
    <hyperlink ref="F2214" r:id="rId2520" xr:uid="{00000000-0004-0000-0200-0000D7090000}"/>
    <hyperlink ref="G2214" r:id="rId2521" xr:uid="{00000000-0004-0000-0200-0000D8090000}"/>
    <hyperlink ref="F2215" r:id="rId2522" xr:uid="{00000000-0004-0000-0200-0000D9090000}"/>
    <hyperlink ref="S2215" r:id="rId2523" xr:uid="{00000000-0004-0000-0200-0000DA090000}"/>
    <hyperlink ref="F2216" r:id="rId2524" xr:uid="{00000000-0004-0000-0200-0000DB090000}"/>
    <hyperlink ref="G2216" r:id="rId2525" xr:uid="{00000000-0004-0000-0200-0000DC090000}"/>
    <hyperlink ref="F2217" r:id="rId2526" xr:uid="{00000000-0004-0000-0200-0000DD090000}"/>
    <hyperlink ref="S2217" r:id="rId2527" xr:uid="{00000000-0004-0000-0200-0000DE090000}"/>
    <hyperlink ref="F2218" r:id="rId2528" xr:uid="{00000000-0004-0000-0200-0000DF090000}"/>
    <hyperlink ref="F2219" r:id="rId2529" xr:uid="{00000000-0004-0000-0200-0000E0090000}"/>
    <hyperlink ref="G2219" r:id="rId2530" xr:uid="{00000000-0004-0000-0200-0000E1090000}"/>
    <hyperlink ref="S2220" r:id="rId2531" xr:uid="{00000000-0004-0000-0200-0000E2090000}"/>
    <hyperlink ref="S2221" r:id="rId2532" xr:uid="{00000000-0004-0000-0200-0000E3090000}"/>
    <hyperlink ref="F2222" r:id="rId2533" xr:uid="{00000000-0004-0000-0200-0000E4090000}"/>
    <hyperlink ref="S2223" r:id="rId2534" xr:uid="{00000000-0004-0000-0200-0000E5090000}"/>
    <hyperlink ref="G2224" r:id="rId2535" xr:uid="{00000000-0004-0000-0200-0000E6090000}"/>
    <hyperlink ref="S2224" r:id="rId2536" xr:uid="{00000000-0004-0000-0200-0000E7090000}"/>
    <hyperlink ref="G2225" r:id="rId2537" xr:uid="{00000000-0004-0000-0200-0000E8090000}"/>
    <hyperlink ref="F2226" r:id="rId2538" xr:uid="{00000000-0004-0000-0200-0000E9090000}"/>
    <hyperlink ref="S2226" r:id="rId2539" xr:uid="{00000000-0004-0000-0200-0000EA090000}"/>
    <hyperlink ref="F2227" r:id="rId2540" xr:uid="{00000000-0004-0000-0200-0000EB090000}"/>
    <hyperlink ref="S2227" r:id="rId2541" xr:uid="{00000000-0004-0000-0200-0000EC090000}"/>
    <hyperlink ref="G2228" r:id="rId2542" xr:uid="{00000000-0004-0000-0200-0000ED090000}"/>
    <hyperlink ref="F2229" r:id="rId2543" xr:uid="{00000000-0004-0000-0200-0000EE090000}"/>
    <hyperlink ref="G2229" r:id="rId2544" xr:uid="{00000000-0004-0000-0200-0000EF090000}"/>
    <hyperlink ref="F2230" r:id="rId2545" xr:uid="{00000000-0004-0000-0200-0000F0090000}"/>
    <hyperlink ref="S2230" r:id="rId2546" xr:uid="{00000000-0004-0000-0200-0000F1090000}"/>
    <hyperlink ref="G2231" r:id="rId2547" xr:uid="{00000000-0004-0000-0200-0000F2090000}"/>
    <hyperlink ref="F2232" r:id="rId2548" xr:uid="{00000000-0004-0000-0200-0000F3090000}"/>
    <hyperlink ref="G2232" r:id="rId2549" xr:uid="{00000000-0004-0000-0200-0000F4090000}"/>
    <hyperlink ref="F2234" r:id="rId2550" xr:uid="{00000000-0004-0000-0200-0000F5090000}"/>
    <hyperlink ref="F2235" r:id="rId2551" xr:uid="{00000000-0004-0000-0200-0000F6090000}"/>
    <hyperlink ref="F2237" r:id="rId2552" xr:uid="{00000000-0004-0000-0200-0000F7090000}"/>
    <hyperlink ref="G2238" r:id="rId2553" xr:uid="{00000000-0004-0000-0200-0000F8090000}"/>
    <hyperlink ref="S2238" r:id="rId2554" xr:uid="{00000000-0004-0000-0200-0000F9090000}"/>
    <hyperlink ref="F2239" r:id="rId2555" xr:uid="{00000000-0004-0000-0200-0000FA090000}"/>
    <hyperlink ref="G2239" r:id="rId2556" xr:uid="{00000000-0004-0000-0200-0000FB090000}"/>
    <hyperlink ref="S2239" r:id="rId2557" xr:uid="{00000000-0004-0000-0200-0000FC090000}"/>
    <hyperlink ref="G2240" r:id="rId2558" xr:uid="{00000000-0004-0000-0200-0000FD090000}"/>
    <hyperlink ref="S2240" r:id="rId2559" xr:uid="{00000000-0004-0000-0200-0000FE090000}"/>
    <hyperlink ref="F2241" r:id="rId2560" xr:uid="{00000000-0004-0000-0200-0000FF090000}"/>
    <hyperlink ref="F2242" r:id="rId2561" xr:uid="{00000000-0004-0000-0200-0000000A0000}"/>
    <hyperlink ref="G2242" r:id="rId2562" xr:uid="{00000000-0004-0000-0200-0000010A0000}"/>
    <hyperlink ref="F2243" r:id="rId2563" xr:uid="{00000000-0004-0000-0200-0000020A0000}"/>
    <hyperlink ref="S2243" r:id="rId2564" xr:uid="{00000000-0004-0000-0200-0000030A0000}"/>
    <hyperlink ref="S2244" r:id="rId2565" xr:uid="{00000000-0004-0000-0200-0000040A0000}"/>
    <hyperlink ref="F2246" r:id="rId2566" xr:uid="{00000000-0004-0000-0200-0000050A0000}"/>
    <hyperlink ref="S2247" r:id="rId2567" xr:uid="{00000000-0004-0000-0200-0000060A0000}"/>
    <hyperlink ref="S2248" r:id="rId2568" xr:uid="{00000000-0004-0000-0200-0000070A0000}"/>
    <hyperlink ref="G2249" r:id="rId2569" xr:uid="{00000000-0004-0000-0200-0000080A0000}"/>
    <hyperlink ref="S2249" r:id="rId2570" xr:uid="{00000000-0004-0000-0200-0000090A0000}"/>
    <hyperlink ref="F2250" r:id="rId2571" xr:uid="{00000000-0004-0000-0200-00000A0A0000}"/>
    <hyperlink ref="F2251" r:id="rId2572" xr:uid="{00000000-0004-0000-0200-00000B0A0000}"/>
    <hyperlink ref="G2252" r:id="rId2573" xr:uid="{00000000-0004-0000-0200-00000C0A0000}"/>
    <hyperlink ref="F2254" r:id="rId2574" xr:uid="{00000000-0004-0000-0200-00000D0A0000}"/>
    <hyperlink ref="G2254" r:id="rId2575" xr:uid="{00000000-0004-0000-0200-00000E0A0000}"/>
    <hyperlink ref="G2255" r:id="rId2576" xr:uid="{00000000-0004-0000-0200-00000F0A0000}"/>
    <hyperlink ref="S2256" r:id="rId2577" xr:uid="{00000000-0004-0000-0200-0000100A0000}"/>
    <hyperlink ref="F2257" r:id="rId2578" xr:uid="{00000000-0004-0000-0200-0000110A0000}"/>
    <hyperlink ref="F2258" r:id="rId2579" xr:uid="{00000000-0004-0000-0200-0000120A0000}"/>
    <hyperlink ref="F2259" r:id="rId2580" xr:uid="{00000000-0004-0000-0200-0000130A0000}"/>
    <hyperlink ref="S2259" r:id="rId2581" xr:uid="{00000000-0004-0000-0200-0000140A0000}"/>
    <hyperlink ref="G2260" r:id="rId2582" xr:uid="{00000000-0004-0000-0200-0000150A0000}"/>
    <hyperlink ref="S2261" r:id="rId2583" xr:uid="{00000000-0004-0000-0200-0000160A0000}"/>
    <hyperlink ref="G2262" r:id="rId2584" xr:uid="{00000000-0004-0000-0200-0000170A0000}"/>
    <hyperlink ref="F2263" r:id="rId2585" xr:uid="{00000000-0004-0000-0200-0000180A0000}"/>
    <hyperlink ref="C2264" r:id="rId2586" xr:uid="{00000000-0004-0000-0200-0000190A0000}"/>
    <hyperlink ref="F2264" r:id="rId2587" xr:uid="{00000000-0004-0000-0200-00001A0A0000}"/>
    <hyperlink ref="S2264" r:id="rId2588" xr:uid="{00000000-0004-0000-0200-00001B0A0000}"/>
    <hyperlink ref="F2265" r:id="rId2589" xr:uid="{00000000-0004-0000-0200-00001C0A0000}"/>
    <hyperlink ref="F2266" r:id="rId2590" xr:uid="{00000000-0004-0000-0200-00001D0A0000}"/>
    <hyperlink ref="F2267" r:id="rId2591" xr:uid="{00000000-0004-0000-0200-00001E0A0000}"/>
    <hyperlink ref="F2268" r:id="rId2592" xr:uid="{00000000-0004-0000-0200-00001F0A0000}"/>
    <hyperlink ref="S2268" r:id="rId2593" xr:uid="{00000000-0004-0000-0200-0000200A0000}"/>
    <hyperlink ref="G2269" r:id="rId2594" xr:uid="{00000000-0004-0000-0200-0000210A0000}"/>
    <hyperlink ref="S2269" r:id="rId2595" xr:uid="{00000000-0004-0000-0200-0000220A0000}"/>
    <hyperlink ref="F2270" r:id="rId2596" xr:uid="{00000000-0004-0000-0200-0000230A0000}"/>
    <hyperlink ref="S2270" r:id="rId2597" xr:uid="{00000000-0004-0000-0200-0000240A0000}"/>
    <hyperlink ref="F2271" r:id="rId2598" xr:uid="{00000000-0004-0000-0200-0000250A0000}"/>
    <hyperlink ref="S2271" r:id="rId2599" xr:uid="{00000000-0004-0000-0200-0000260A0000}"/>
    <hyperlink ref="F2273" r:id="rId2600" xr:uid="{00000000-0004-0000-0200-0000270A0000}"/>
    <hyperlink ref="S2273" r:id="rId2601" xr:uid="{00000000-0004-0000-0200-0000280A0000}"/>
    <hyperlink ref="G2274" r:id="rId2602" xr:uid="{00000000-0004-0000-0200-0000290A0000}"/>
    <hyperlink ref="F2276" r:id="rId2603" xr:uid="{00000000-0004-0000-0200-00002A0A0000}"/>
    <hyperlink ref="S2276" r:id="rId2604" xr:uid="{00000000-0004-0000-0200-00002B0A0000}"/>
    <hyperlink ref="S2277" r:id="rId2605" xr:uid="{00000000-0004-0000-0200-00002C0A0000}"/>
    <hyperlink ref="F2278" r:id="rId2606" xr:uid="{00000000-0004-0000-0200-00002D0A0000}"/>
    <hyperlink ref="S2278" r:id="rId2607" xr:uid="{00000000-0004-0000-0200-00002E0A0000}"/>
    <hyperlink ref="F2279" r:id="rId2608" xr:uid="{00000000-0004-0000-0200-00002F0A0000}"/>
    <hyperlink ref="S2279" r:id="rId2609" xr:uid="{00000000-0004-0000-0200-0000300A0000}"/>
    <hyperlink ref="F2280" r:id="rId2610" xr:uid="{00000000-0004-0000-0200-0000310A0000}"/>
    <hyperlink ref="F2281" r:id="rId2611" xr:uid="{00000000-0004-0000-0200-0000320A0000}"/>
    <hyperlink ref="F2282" r:id="rId2612" xr:uid="{00000000-0004-0000-0200-0000330A0000}"/>
    <hyperlink ref="G2282" r:id="rId2613" xr:uid="{00000000-0004-0000-0200-0000340A0000}"/>
    <hyperlink ref="F2284" r:id="rId2614" xr:uid="{00000000-0004-0000-0200-0000350A0000}"/>
    <hyperlink ref="F2285" r:id="rId2615" xr:uid="{00000000-0004-0000-0200-0000360A0000}"/>
    <hyperlink ref="S2285" r:id="rId2616" xr:uid="{00000000-0004-0000-0200-0000370A0000}"/>
    <hyperlink ref="G2286" r:id="rId2617" xr:uid="{00000000-0004-0000-0200-0000380A0000}"/>
    <hyperlink ref="F2287" r:id="rId2618" xr:uid="{00000000-0004-0000-0200-0000390A0000}"/>
    <hyperlink ref="S2287" r:id="rId2619" xr:uid="{00000000-0004-0000-0200-00003A0A0000}"/>
    <hyperlink ref="F2291" r:id="rId2620" xr:uid="{00000000-0004-0000-0200-00003B0A0000}"/>
    <hyperlink ref="F2292" r:id="rId2621" xr:uid="{00000000-0004-0000-0200-00003C0A0000}"/>
    <hyperlink ref="S2292" r:id="rId2622" xr:uid="{00000000-0004-0000-0200-00003D0A0000}"/>
    <hyperlink ref="F2294" r:id="rId2623" xr:uid="{00000000-0004-0000-0200-00003E0A0000}"/>
    <hyperlink ref="G2295" r:id="rId2624" xr:uid="{00000000-0004-0000-0200-00003F0A0000}"/>
    <hyperlink ref="F2296" r:id="rId2625" xr:uid="{00000000-0004-0000-0200-0000400A0000}"/>
    <hyperlink ref="S2296" r:id="rId2626" xr:uid="{00000000-0004-0000-0200-0000410A0000}"/>
    <hyperlink ref="F2298" r:id="rId2627" xr:uid="{00000000-0004-0000-0200-0000420A0000}"/>
    <hyperlink ref="G2298" r:id="rId2628" xr:uid="{00000000-0004-0000-0200-0000430A0000}"/>
    <hyperlink ref="G2300" r:id="rId2629" xr:uid="{00000000-0004-0000-0200-0000440A0000}"/>
    <hyperlink ref="S2300" r:id="rId2630" xr:uid="{00000000-0004-0000-0200-0000450A0000}"/>
    <hyperlink ref="G2301" r:id="rId2631" xr:uid="{00000000-0004-0000-0200-0000460A0000}"/>
    <hyperlink ref="S2301" r:id="rId2632" xr:uid="{00000000-0004-0000-0200-0000470A0000}"/>
    <hyperlink ref="G2302" r:id="rId2633" xr:uid="{00000000-0004-0000-0200-0000480A0000}"/>
    <hyperlink ref="S2302" r:id="rId2634" xr:uid="{00000000-0004-0000-0200-0000490A0000}"/>
    <hyperlink ref="G2303" r:id="rId2635" xr:uid="{00000000-0004-0000-0200-00004A0A0000}"/>
    <hyperlink ref="S2303" r:id="rId2636" xr:uid="{00000000-0004-0000-0200-00004B0A0000}"/>
    <hyperlink ref="G2304" r:id="rId2637" xr:uid="{00000000-0004-0000-0200-00004C0A0000}"/>
    <hyperlink ref="S2304" r:id="rId2638" xr:uid="{00000000-0004-0000-0200-00004D0A0000}"/>
    <hyperlink ref="F2305" r:id="rId2639" xr:uid="{00000000-0004-0000-0200-00004E0A0000}"/>
    <hyperlink ref="G2306" r:id="rId2640" xr:uid="{00000000-0004-0000-0200-00004F0A0000}"/>
    <hyperlink ref="S2306" r:id="rId2641" xr:uid="{00000000-0004-0000-0200-0000500A0000}"/>
    <hyperlink ref="F2307" r:id="rId2642" xr:uid="{00000000-0004-0000-0200-0000510A0000}"/>
    <hyperlink ref="G2310" r:id="rId2643" xr:uid="{00000000-0004-0000-0200-0000520A0000}"/>
    <hyperlink ref="S2310" r:id="rId2644" xr:uid="{00000000-0004-0000-0200-0000530A0000}"/>
    <hyperlink ref="F2311" r:id="rId2645" xr:uid="{00000000-0004-0000-0200-0000540A0000}"/>
    <hyperlink ref="S2311" r:id="rId2646" xr:uid="{00000000-0004-0000-0200-0000550A0000}"/>
    <hyperlink ref="F2312" r:id="rId2647" xr:uid="{00000000-0004-0000-0200-0000560A0000}"/>
    <hyperlink ref="S2312" r:id="rId2648" xr:uid="{00000000-0004-0000-0200-0000570A0000}"/>
    <hyperlink ref="F2314" r:id="rId2649" xr:uid="{00000000-0004-0000-0200-0000580A0000}"/>
    <hyperlink ref="F2315" r:id="rId2650" xr:uid="{00000000-0004-0000-0200-0000590A0000}"/>
    <hyperlink ref="S2315" r:id="rId2651" xr:uid="{00000000-0004-0000-0200-00005A0A0000}"/>
    <hyperlink ref="S2320" r:id="rId2652" xr:uid="{00000000-0004-0000-0200-00005B0A0000}"/>
    <hyperlink ref="G2321" r:id="rId2653" xr:uid="{00000000-0004-0000-0200-00005C0A0000}"/>
    <hyperlink ref="S2322" r:id="rId2654" xr:uid="{00000000-0004-0000-0200-00005D0A0000}"/>
    <hyperlink ref="G2324" r:id="rId2655" xr:uid="{00000000-0004-0000-0200-00005E0A0000}"/>
    <hyperlink ref="F2327" r:id="rId2656" xr:uid="{00000000-0004-0000-0200-00005F0A0000}"/>
    <hyperlink ref="S2331" r:id="rId2657" xr:uid="{00000000-0004-0000-0200-0000600A0000}"/>
    <hyperlink ref="F2332" r:id="rId2658" xr:uid="{00000000-0004-0000-0200-0000610A0000}"/>
    <hyperlink ref="G2333" r:id="rId2659" xr:uid="{00000000-0004-0000-0200-0000620A0000}"/>
    <hyperlink ref="S2333" r:id="rId2660" xr:uid="{00000000-0004-0000-0200-0000630A0000}"/>
    <hyperlink ref="S2334" r:id="rId2661" xr:uid="{00000000-0004-0000-0200-0000640A0000}"/>
    <hyperlink ref="G2336" r:id="rId2662" xr:uid="{00000000-0004-0000-0200-0000650A0000}"/>
    <hyperlink ref="S2336" r:id="rId2663" xr:uid="{00000000-0004-0000-0200-0000660A0000}"/>
    <hyperlink ref="S2337" r:id="rId2664" xr:uid="{00000000-0004-0000-0200-0000670A0000}"/>
    <hyperlink ref="F2338" r:id="rId2665" xr:uid="{00000000-0004-0000-0200-0000680A0000}"/>
    <hyperlink ref="G2338" r:id="rId2666" xr:uid="{00000000-0004-0000-0200-0000690A0000}"/>
    <hyperlink ref="S2338" r:id="rId2667" xr:uid="{00000000-0004-0000-0200-00006A0A0000}"/>
    <hyperlink ref="F2339" r:id="rId2668" xr:uid="{00000000-0004-0000-0200-00006B0A0000}"/>
    <hyperlink ref="G2339" r:id="rId2669" xr:uid="{00000000-0004-0000-0200-00006C0A0000}"/>
    <hyperlink ref="S2339" r:id="rId2670" xr:uid="{00000000-0004-0000-0200-00006D0A0000}"/>
    <hyperlink ref="S2340" r:id="rId2671" xr:uid="{00000000-0004-0000-0200-00006E0A0000}"/>
    <hyperlink ref="G2341" r:id="rId2672" xr:uid="{00000000-0004-0000-0200-00006F0A0000}"/>
    <hyperlink ref="F2344" r:id="rId2673" xr:uid="{00000000-0004-0000-0200-0000700A0000}"/>
    <hyperlink ref="F2345" r:id="rId2674" xr:uid="{00000000-0004-0000-0200-0000710A0000}"/>
    <hyperlink ref="S2345" r:id="rId2675" xr:uid="{00000000-0004-0000-0200-0000720A0000}"/>
    <hyperlink ref="F2347" r:id="rId2676" xr:uid="{00000000-0004-0000-0200-0000730A0000}"/>
    <hyperlink ref="G2347" r:id="rId2677" xr:uid="{00000000-0004-0000-0200-0000740A0000}"/>
    <hyperlink ref="S2347" r:id="rId2678" xr:uid="{00000000-0004-0000-0200-0000750A0000}"/>
    <hyperlink ref="S2349" r:id="rId2679" xr:uid="{00000000-0004-0000-0200-0000760A0000}"/>
    <hyperlink ref="F2350" r:id="rId2680" xr:uid="{00000000-0004-0000-0200-0000770A0000}"/>
    <hyperlink ref="G2350" r:id="rId2681" xr:uid="{00000000-0004-0000-0200-0000780A0000}"/>
    <hyperlink ref="S2350" r:id="rId2682" xr:uid="{00000000-0004-0000-0200-0000790A0000}"/>
    <hyperlink ref="F2351" r:id="rId2683" xr:uid="{00000000-0004-0000-0200-00007A0A0000}"/>
    <hyperlink ref="F2353" r:id="rId2684" xr:uid="{00000000-0004-0000-0200-00007B0A0000}"/>
    <hyperlink ref="S2353" r:id="rId2685" xr:uid="{00000000-0004-0000-0200-00007C0A0000}"/>
    <hyperlink ref="F2356" r:id="rId2686" xr:uid="{00000000-0004-0000-0200-00007D0A0000}"/>
    <hyperlink ref="F2357" r:id="rId2687" xr:uid="{00000000-0004-0000-0200-00007E0A0000}"/>
    <hyperlink ref="G2357" r:id="rId2688" xr:uid="{00000000-0004-0000-0200-00007F0A0000}"/>
    <hyperlink ref="G2358" r:id="rId2689" xr:uid="{00000000-0004-0000-0200-0000800A0000}"/>
    <hyperlink ref="G2359" r:id="rId2690" xr:uid="{00000000-0004-0000-0200-0000810A0000}"/>
    <hyperlink ref="F2360" r:id="rId2691" xr:uid="{00000000-0004-0000-0200-0000820A0000}"/>
    <hyperlink ref="F2361" r:id="rId2692" xr:uid="{00000000-0004-0000-0200-0000830A0000}"/>
    <hyperlink ref="F2362" r:id="rId2693" xr:uid="{00000000-0004-0000-0200-0000840A0000}"/>
    <hyperlink ref="S2362" r:id="rId2694" xr:uid="{00000000-0004-0000-0200-0000850A0000}"/>
    <hyperlink ref="F2363" r:id="rId2695" xr:uid="{00000000-0004-0000-0200-0000860A0000}"/>
    <hyperlink ref="S2363" r:id="rId2696" xr:uid="{00000000-0004-0000-0200-0000870A0000}"/>
    <hyperlink ref="S2364" r:id="rId2697" xr:uid="{00000000-0004-0000-0200-0000880A0000}"/>
    <hyperlink ref="F2365" r:id="rId2698" xr:uid="{00000000-0004-0000-0200-0000890A0000}"/>
    <hyperlink ref="S2365" r:id="rId2699" xr:uid="{00000000-0004-0000-0200-00008A0A0000}"/>
    <hyperlink ref="F2366" r:id="rId2700" xr:uid="{00000000-0004-0000-0200-00008B0A0000}"/>
    <hyperlink ref="S2366" r:id="rId2701" xr:uid="{00000000-0004-0000-0200-00008C0A0000}"/>
    <hyperlink ref="F2367" r:id="rId2702" xr:uid="{00000000-0004-0000-0200-00008D0A0000}"/>
    <hyperlink ref="G2367" r:id="rId2703" xr:uid="{00000000-0004-0000-0200-00008E0A0000}"/>
    <hyperlink ref="S2367" r:id="rId2704" xr:uid="{00000000-0004-0000-0200-00008F0A0000}"/>
    <hyperlink ref="F2369" r:id="rId2705" xr:uid="{00000000-0004-0000-0200-0000900A0000}"/>
    <hyperlink ref="F2370" r:id="rId2706" xr:uid="{00000000-0004-0000-0200-0000910A0000}"/>
    <hyperlink ref="F2371" r:id="rId2707" xr:uid="{00000000-0004-0000-0200-0000920A0000}"/>
    <hyperlink ref="G2371" r:id="rId2708" xr:uid="{00000000-0004-0000-0200-0000930A0000}"/>
    <hyperlink ref="S2371" r:id="rId2709" xr:uid="{00000000-0004-0000-0200-0000940A0000}"/>
    <hyperlink ref="F2372" r:id="rId2710" xr:uid="{00000000-0004-0000-0200-0000950A0000}"/>
    <hyperlink ref="F2373" r:id="rId2711" xr:uid="{00000000-0004-0000-0200-0000960A0000}"/>
    <hyperlink ref="S2373" r:id="rId2712" xr:uid="{00000000-0004-0000-0200-0000970A0000}"/>
    <hyperlink ref="F2374" r:id="rId2713" xr:uid="{00000000-0004-0000-0200-0000980A0000}"/>
    <hyperlink ref="G2375" r:id="rId2714" xr:uid="{00000000-0004-0000-0200-0000990A0000}"/>
    <hyperlink ref="F2376" r:id="rId2715" xr:uid="{00000000-0004-0000-0200-00009A0A0000}"/>
    <hyperlink ref="F2377" r:id="rId2716" xr:uid="{00000000-0004-0000-0200-00009B0A0000}"/>
    <hyperlink ref="F2378" r:id="rId2717" xr:uid="{00000000-0004-0000-0200-00009C0A0000}"/>
    <hyperlink ref="S2378" r:id="rId2718" xr:uid="{00000000-0004-0000-0200-00009D0A0000}"/>
    <hyperlink ref="S2379" r:id="rId2719" xr:uid="{00000000-0004-0000-0200-00009E0A0000}"/>
    <hyperlink ref="F2380" r:id="rId2720" xr:uid="{00000000-0004-0000-0200-00009F0A0000}"/>
    <hyperlink ref="G2380" r:id="rId2721" xr:uid="{00000000-0004-0000-0200-0000A00A0000}"/>
    <hyperlink ref="F2381" r:id="rId2722" xr:uid="{00000000-0004-0000-0200-0000A10A0000}"/>
    <hyperlink ref="S2381" r:id="rId2723" xr:uid="{00000000-0004-0000-0200-0000A20A0000}"/>
    <hyperlink ref="F2382" r:id="rId2724" xr:uid="{00000000-0004-0000-0200-0000A30A0000}"/>
    <hyperlink ref="G2382" r:id="rId2725" xr:uid="{00000000-0004-0000-0200-0000A40A0000}"/>
    <hyperlink ref="F2383" r:id="rId2726" xr:uid="{00000000-0004-0000-0200-0000A50A0000}"/>
    <hyperlink ref="F2384" r:id="rId2727" xr:uid="{00000000-0004-0000-0200-0000A60A0000}"/>
    <hyperlink ref="F2385" r:id="rId2728" xr:uid="{00000000-0004-0000-0200-0000A70A0000}"/>
    <hyperlink ref="S2385" r:id="rId2729" xr:uid="{00000000-0004-0000-0200-0000A80A0000}"/>
    <hyperlink ref="F2386" r:id="rId2730" xr:uid="{00000000-0004-0000-0200-0000A90A0000}"/>
    <hyperlink ref="S2387" r:id="rId2731" xr:uid="{00000000-0004-0000-0200-0000AA0A0000}"/>
    <hyperlink ref="F2388" r:id="rId2732" xr:uid="{00000000-0004-0000-0200-0000AB0A0000}"/>
    <hyperlink ref="G2390" r:id="rId2733" xr:uid="{00000000-0004-0000-0200-0000AC0A0000}"/>
    <hyperlink ref="F2391" r:id="rId2734" xr:uid="{00000000-0004-0000-0200-0000AD0A0000}"/>
    <hyperlink ref="G2392" r:id="rId2735" xr:uid="{00000000-0004-0000-0200-0000AE0A0000}"/>
    <hyperlink ref="F2393" r:id="rId2736" xr:uid="{00000000-0004-0000-0200-0000AF0A0000}"/>
    <hyperlink ref="G2394" r:id="rId2737" xr:uid="{00000000-0004-0000-0200-0000B00A0000}"/>
    <hyperlink ref="F2395" r:id="rId2738" xr:uid="{00000000-0004-0000-0200-0000B10A0000}"/>
    <hyperlink ref="F2396" r:id="rId2739" xr:uid="{00000000-0004-0000-0200-0000B20A0000}"/>
    <hyperlink ref="G2396" r:id="rId2740" xr:uid="{00000000-0004-0000-0200-0000B30A0000}"/>
    <hyperlink ref="F2397" r:id="rId2741" xr:uid="{00000000-0004-0000-0200-0000B40A0000}"/>
    <hyperlink ref="G2398" r:id="rId2742" xr:uid="{00000000-0004-0000-0200-0000B50A0000}"/>
    <hyperlink ref="F2399" r:id="rId2743" xr:uid="{00000000-0004-0000-0200-0000B60A0000}"/>
    <hyperlink ref="F2400" r:id="rId2744" xr:uid="{00000000-0004-0000-0200-0000B70A0000}"/>
    <hyperlink ref="F2401" r:id="rId2745" xr:uid="{00000000-0004-0000-0200-0000B80A0000}"/>
    <hyperlink ref="S2401" r:id="rId2746" xr:uid="{00000000-0004-0000-0200-0000B90A0000}"/>
    <hyperlink ref="F2402" r:id="rId2747" xr:uid="{00000000-0004-0000-0200-0000BA0A0000}"/>
    <hyperlink ref="F2403" r:id="rId2748" xr:uid="{00000000-0004-0000-0200-0000BB0A0000}"/>
    <hyperlink ref="G2403" r:id="rId2749" xr:uid="{00000000-0004-0000-0200-0000BC0A0000}"/>
    <hyperlink ref="S2404" r:id="rId2750" xr:uid="{00000000-0004-0000-0200-0000BD0A0000}"/>
    <hyperlink ref="S2405" r:id="rId2751" xr:uid="{00000000-0004-0000-0200-0000BE0A0000}"/>
    <hyperlink ref="F2407" r:id="rId2752" xr:uid="{00000000-0004-0000-0200-0000BF0A0000}"/>
    <hyperlink ref="F2408" r:id="rId2753" xr:uid="{00000000-0004-0000-0200-0000C00A0000}"/>
    <hyperlink ref="F2409" r:id="rId2754" xr:uid="{00000000-0004-0000-0200-0000C10A0000}"/>
    <hyperlink ref="F2411" r:id="rId2755" xr:uid="{00000000-0004-0000-0200-0000C20A0000}"/>
    <hyperlink ref="F2412" r:id="rId2756" xr:uid="{00000000-0004-0000-0200-0000C30A0000}"/>
    <hyperlink ref="G2412" r:id="rId2757" xr:uid="{00000000-0004-0000-0200-0000C40A0000}"/>
    <hyperlink ref="S2412" r:id="rId2758" xr:uid="{00000000-0004-0000-0200-0000C50A0000}"/>
    <hyperlink ref="G2414" r:id="rId2759" xr:uid="{00000000-0004-0000-0200-0000C60A0000}"/>
    <hyperlink ref="G2415" r:id="rId2760" xr:uid="{00000000-0004-0000-0200-0000C70A0000}"/>
    <hyperlink ref="S2415" r:id="rId2761" xr:uid="{00000000-0004-0000-0200-0000C80A0000}"/>
    <hyperlink ref="F2416" r:id="rId2762" xr:uid="{00000000-0004-0000-0200-0000C90A0000}"/>
    <hyperlink ref="F2417" r:id="rId2763" xr:uid="{00000000-0004-0000-0200-0000CA0A0000}"/>
    <hyperlink ref="S2417" r:id="rId2764" xr:uid="{00000000-0004-0000-0200-0000CB0A0000}"/>
    <hyperlink ref="F2418" r:id="rId2765" xr:uid="{00000000-0004-0000-0200-0000CC0A0000}"/>
    <hyperlink ref="F2419" r:id="rId2766" xr:uid="{00000000-0004-0000-0200-0000CD0A0000}"/>
    <hyperlink ref="G2419" r:id="rId2767" xr:uid="{00000000-0004-0000-0200-0000CE0A0000}"/>
    <hyperlink ref="F2421" r:id="rId2768" location="ns_campaign=rrss-inducido&amp;ns_mchannel=abc-es&amp;ns_source=tw&amp;ns_linkname=noticia-foto&amp;ns_fee=0" xr:uid="{00000000-0004-0000-0200-0000CF0A0000}"/>
    <hyperlink ref="S2424" r:id="rId2769" xr:uid="{00000000-0004-0000-0200-0000D00A0000}"/>
    <hyperlink ref="F2425" r:id="rId2770" xr:uid="{00000000-0004-0000-0200-0000D10A0000}"/>
    <hyperlink ref="S2425" r:id="rId2771" xr:uid="{00000000-0004-0000-0200-0000D20A0000}"/>
    <hyperlink ref="S2427" r:id="rId2772" xr:uid="{00000000-0004-0000-0200-0000D30A0000}"/>
    <hyperlink ref="G2428" r:id="rId2773" xr:uid="{00000000-0004-0000-0200-0000D40A0000}"/>
    <hyperlink ref="S2431" r:id="rId2774" xr:uid="{00000000-0004-0000-0200-0000D50A0000}"/>
    <hyperlink ref="S2433" r:id="rId2775" xr:uid="{00000000-0004-0000-0200-0000D60A0000}"/>
    <hyperlink ref="S2434" r:id="rId2776" xr:uid="{00000000-0004-0000-0200-0000D70A0000}"/>
    <hyperlink ref="S2436" r:id="rId2777" xr:uid="{00000000-0004-0000-0200-0000D80A0000}"/>
    <hyperlink ref="F2437" r:id="rId2778" xr:uid="{00000000-0004-0000-0200-0000D90A0000}"/>
    <hyperlink ref="G2438" r:id="rId2779" xr:uid="{00000000-0004-0000-0200-0000DA0A0000}"/>
    <hyperlink ref="S2438" r:id="rId2780" xr:uid="{00000000-0004-0000-0200-0000DB0A0000}"/>
    <hyperlink ref="F2439" r:id="rId2781" xr:uid="{00000000-0004-0000-0200-0000DC0A0000}"/>
    <hyperlink ref="S2439" r:id="rId2782" xr:uid="{00000000-0004-0000-0200-0000DD0A0000}"/>
    <hyperlink ref="S2440" r:id="rId2783" xr:uid="{00000000-0004-0000-0200-0000DE0A0000}"/>
    <hyperlink ref="S2441" r:id="rId2784" xr:uid="{00000000-0004-0000-0200-0000DF0A0000}"/>
    <hyperlink ref="G2442" r:id="rId2785" xr:uid="{00000000-0004-0000-0200-0000E00A0000}"/>
    <hyperlink ref="F2443" r:id="rId2786" location=".W_M545Z2W3B.twitter" xr:uid="{00000000-0004-0000-0200-0000E10A0000}"/>
    <hyperlink ref="S2446" r:id="rId2787" xr:uid="{00000000-0004-0000-0200-0000E20A0000}"/>
    <hyperlink ref="S2447" r:id="rId2788" xr:uid="{00000000-0004-0000-0200-0000E30A0000}"/>
    <hyperlink ref="F2449" r:id="rId2789" xr:uid="{00000000-0004-0000-0200-0000E40A0000}"/>
    <hyperlink ref="G2451" r:id="rId2790" xr:uid="{00000000-0004-0000-0200-0000E50A0000}"/>
    <hyperlink ref="F2452" r:id="rId2791" xr:uid="{00000000-0004-0000-0200-0000E60A0000}"/>
    <hyperlink ref="G2452" r:id="rId2792" xr:uid="{00000000-0004-0000-0200-0000E70A0000}"/>
    <hyperlink ref="S2453" r:id="rId2793" xr:uid="{00000000-0004-0000-0200-0000E80A0000}"/>
    <hyperlink ref="S2455" r:id="rId2794" xr:uid="{00000000-0004-0000-0200-0000E90A0000}"/>
    <hyperlink ref="F2456" r:id="rId2795" xr:uid="{00000000-0004-0000-0200-0000EA0A0000}"/>
    <hyperlink ref="S2456" r:id="rId2796" xr:uid="{00000000-0004-0000-0200-0000EB0A0000}"/>
    <hyperlink ref="G2457" r:id="rId2797" xr:uid="{00000000-0004-0000-0200-0000EC0A0000}"/>
    <hyperlink ref="S2459" r:id="rId2798" xr:uid="{00000000-0004-0000-0200-0000ED0A0000}"/>
    <hyperlink ref="F2461" r:id="rId2799" xr:uid="{00000000-0004-0000-0200-0000EE0A0000}"/>
    <hyperlink ref="G2463" r:id="rId2800" xr:uid="{00000000-0004-0000-0200-0000EF0A0000}"/>
    <hyperlink ref="G2465" r:id="rId2801" xr:uid="{00000000-0004-0000-0200-0000F00A0000}"/>
    <hyperlink ref="S2468" r:id="rId2802" xr:uid="{00000000-0004-0000-0200-0000F10A0000}"/>
    <hyperlink ref="F2470" r:id="rId2803" xr:uid="{00000000-0004-0000-0200-0000F20A0000}"/>
    <hyperlink ref="S2470" r:id="rId2804" xr:uid="{00000000-0004-0000-0200-0000F30A0000}"/>
    <hyperlink ref="G2473" r:id="rId2805" xr:uid="{00000000-0004-0000-0200-0000F40A0000}"/>
    <hyperlink ref="S2473" r:id="rId2806" xr:uid="{00000000-0004-0000-0200-0000F50A0000}"/>
    <hyperlink ref="G2474" r:id="rId2807" xr:uid="{00000000-0004-0000-0200-0000F60A0000}"/>
    <hyperlink ref="S2475" r:id="rId2808" xr:uid="{00000000-0004-0000-0200-0000F70A0000}"/>
    <hyperlink ref="G2478" r:id="rId2809" xr:uid="{00000000-0004-0000-0200-0000F80A0000}"/>
    <hyperlink ref="S2478" r:id="rId2810" xr:uid="{00000000-0004-0000-0200-0000F90A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"Albert Rivera" langes -filterr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Pablo Cañas</cp:lastModifiedBy>
  <dcterms:modified xsi:type="dcterms:W3CDTF">2018-12-10T18:05:56Z</dcterms:modified>
</cp:coreProperties>
</file>